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30" windowWidth="9690" windowHeight="7290" tabRatio="859" firstSheet="3" activeTab="17"/>
  </bookViews>
  <sheets>
    <sheet name="semillas" sheetId="24" r:id="rId1"/>
    <sheet name="nombre generico" sheetId="27" r:id="rId2"/>
    <sheet name="PREC marzo 2014" sheetId="3" r:id="rId3"/>
    <sheet name="papa 1" sheetId="25" r:id="rId4"/>
    <sheet name="cebolla" sheetId="1" r:id="rId5"/>
    <sheet name="zanah" sheetId="6" r:id="rId6"/>
    <sheet name="rep" sheetId="5" r:id="rId7"/>
    <sheet name="brocoli" sheetId="9" r:id="rId8"/>
    <sheet name="Coliflor" sheetId="17" r:id="rId9"/>
    <sheet name="remolacha" sheetId="18" r:id="rId10"/>
    <sheet name="tomate" sheetId="7" r:id="rId11"/>
    <sheet name="chile d" sheetId="10" r:id="rId12"/>
    <sheet name="vainica" sheetId="19" r:id="rId13"/>
    <sheet name="lechug" sheetId="8" r:id="rId14"/>
    <sheet name="culantro" sheetId="20" r:id="rId15"/>
    <sheet name="apio" sheetId="21" r:id="rId16"/>
    <sheet name="zapallo" sheetId="22" r:id="rId17"/>
    <sheet name="resumen" sheetId="26" r:id="rId18"/>
  </sheets>
  <definedNames>
    <definedName name="_xlnm.Print_Area" localSheetId="15">apio!$A$1:$F$64</definedName>
    <definedName name="_xlnm.Print_Area" localSheetId="4">cebolla!$A$1:$G$84</definedName>
    <definedName name="_xlnm.Print_Area" localSheetId="11">'chile d'!$A$1:$G$64</definedName>
    <definedName name="_xlnm.Print_Area" localSheetId="8">Coliflor!$A$1:$F$55</definedName>
    <definedName name="_xlnm.Print_Area" localSheetId="13">lechug!$A$1:$F$53</definedName>
    <definedName name="_xlnm.Print_Area" localSheetId="3">'papa 1'!$A$1:$G$66</definedName>
  </definedNames>
  <calcPr calcId="125725"/>
</workbook>
</file>

<file path=xl/calcChain.xml><?xml version="1.0" encoding="utf-8"?>
<calcChain xmlns="http://schemas.openxmlformats.org/spreadsheetml/2006/main">
  <c r="F12" i="26"/>
  <c r="C77" i="1"/>
  <c r="A74"/>
  <c r="A77" s="1"/>
  <c r="A47" i="18"/>
  <c r="C114" i="3"/>
  <c r="C109"/>
  <c r="E87"/>
  <c r="A3" i="19"/>
  <c r="A64" i="21"/>
  <c r="A51" i="8"/>
  <c r="A37" i="22" s="1"/>
  <c r="A51" i="5"/>
  <c r="A52" i="9" s="1"/>
  <c r="A54" i="6"/>
  <c r="B3" i="22"/>
  <c r="B3" i="21"/>
  <c r="A3"/>
  <c r="A4" i="20"/>
  <c r="C41" i="17"/>
  <c r="B41"/>
  <c r="A41"/>
  <c r="E45"/>
  <c r="E44"/>
  <c r="C40"/>
  <c r="B40"/>
  <c r="A40"/>
  <c r="C39"/>
  <c r="B39"/>
  <c r="A39"/>
  <c r="C38"/>
  <c r="B38"/>
  <c r="A38"/>
  <c r="C37"/>
  <c r="B37"/>
  <c r="A37"/>
  <c r="C36"/>
  <c r="B36"/>
  <c r="A36"/>
  <c r="C35"/>
  <c r="B35"/>
  <c r="A35"/>
  <c r="C34"/>
  <c r="B34"/>
  <c r="A34"/>
  <c r="C33"/>
  <c r="B33"/>
  <c r="A33"/>
  <c r="C32"/>
  <c r="B32"/>
  <c r="A32"/>
  <c r="C31"/>
  <c r="B31"/>
  <c r="A31"/>
  <c r="C30"/>
  <c r="B30"/>
  <c r="A30"/>
  <c r="C29"/>
  <c r="B29"/>
  <c r="A29"/>
  <c r="C27"/>
  <c r="C26"/>
  <c r="A30" i="9"/>
  <c r="B30"/>
  <c r="C30"/>
  <c r="A31"/>
  <c r="B31"/>
  <c r="C31"/>
  <c r="A32"/>
  <c r="B32"/>
  <c r="C32"/>
  <c r="A33"/>
  <c r="B33"/>
  <c r="C33"/>
  <c r="A34"/>
  <c r="B34"/>
  <c r="C34"/>
  <c r="A35"/>
  <c r="B35"/>
  <c r="C35"/>
  <c r="A36"/>
  <c r="B36"/>
  <c r="C36"/>
  <c r="A37"/>
  <c r="B37"/>
  <c r="C37"/>
  <c r="A38"/>
  <c r="B38"/>
  <c r="C38"/>
  <c r="A39"/>
  <c r="B39"/>
  <c r="C39"/>
  <c r="A40"/>
  <c r="B40"/>
  <c r="C40"/>
  <c r="A41"/>
  <c r="B41"/>
  <c r="C41"/>
  <c r="B29"/>
  <c r="C29"/>
  <c r="A29"/>
  <c r="C28"/>
  <c r="C27"/>
  <c r="D32" i="5"/>
  <c r="E32" s="1"/>
  <c r="E30" i="9" s="1"/>
  <c r="D42" i="5"/>
  <c r="E42" s="1"/>
  <c r="E40" i="9" s="1"/>
  <c r="D37" i="5"/>
  <c r="E37" s="1"/>
  <c r="E35" i="9" s="1"/>
  <c r="D29" i="5"/>
  <c r="E29" s="1"/>
  <c r="A81"/>
  <c r="A84" s="1"/>
  <c r="A75"/>
  <c r="A77" s="1"/>
  <c r="D33"/>
  <c r="D31" i="9" s="1"/>
  <c r="D30" i="17" s="1"/>
  <c r="D28" i="5"/>
  <c r="E28" s="1"/>
  <c r="C28"/>
  <c r="C27"/>
  <c r="C25" i="6"/>
  <c r="C26"/>
  <c r="D39"/>
  <c r="E39" s="1"/>
  <c r="D30"/>
  <c r="E30" s="1"/>
  <c r="D28"/>
  <c r="E28" s="1"/>
  <c r="D42"/>
  <c r="E42" s="1"/>
  <c r="D40"/>
  <c r="D26"/>
  <c r="E26" s="1"/>
  <c r="D33"/>
  <c r="E33" s="1"/>
  <c r="D25"/>
  <c r="E188" i="3"/>
  <c r="D35" i="5"/>
  <c r="D33" i="9" s="1"/>
  <c r="D32" i="17" s="1"/>
  <c r="E187" i="3"/>
  <c r="D54" i="25"/>
  <c r="E54" s="1"/>
  <c r="D53"/>
  <c r="E53" s="1"/>
  <c r="D47"/>
  <c r="D46"/>
  <c r="D56"/>
  <c r="D43"/>
  <c r="E43" s="1"/>
  <c r="D42"/>
  <c r="E42" s="1"/>
  <c r="D41"/>
  <c r="E41" s="1"/>
  <c r="D35"/>
  <c r="E35" s="1"/>
  <c r="E163" i="3"/>
  <c r="D33" i="25"/>
  <c r="C168" i="3"/>
  <c r="E164"/>
  <c r="E157"/>
  <c r="E107"/>
  <c r="D43" i="6" s="1"/>
  <c r="E101" i="3"/>
  <c r="C100"/>
  <c r="D41" i="6" l="1"/>
  <c r="D40" i="9"/>
  <c r="D39" i="17" s="1"/>
  <c r="D35" i="9"/>
  <c r="D34" i="17" s="1"/>
  <c r="D30" i="9"/>
  <c r="D29" i="17" s="1"/>
  <c r="A60" i="7"/>
  <c r="A59" i="10" s="1"/>
  <c r="A47" i="19"/>
  <c r="A44" i="20"/>
  <c r="A51" i="17"/>
  <c r="A85" i="5"/>
  <c r="E65" i="3"/>
  <c r="G77"/>
  <c r="C79"/>
  <c r="G47"/>
  <c r="C27" i="6"/>
  <c r="C25" i="3"/>
  <c r="B51" i="8"/>
  <c r="E13" i="3"/>
  <c r="D11" i="9" s="1"/>
  <c r="B17" i="26"/>
  <c r="B16"/>
  <c r="B15"/>
  <c r="B14"/>
  <c r="B13"/>
  <c r="B12"/>
  <c r="B11"/>
  <c r="B10"/>
  <c r="B8"/>
  <c r="B7"/>
  <c r="B6"/>
  <c r="B5"/>
  <c r="B4"/>
  <c r="B37" i="22"/>
  <c r="B64" i="21"/>
  <c r="B44" i="20"/>
  <c r="B47" i="19"/>
  <c r="B47" i="18"/>
  <c r="B51" i="17"/>
  <c r="B52" i="9"/>
  <c r="C51" i="5"/>
  <c r="B54" i="6"/>
  <c r="B74" i="1"/>
  <c r="F64" i="25"/>
  <c r="E198" i="3"/>
  <c r="H92"/>
  <c r="E35" i="22"/>
  <c r="D49"/>
  <c r="D48"/>
  <c r="D46"/>
  <c r="E1" i="3"/>
  <c r="D3"/>
  <c r="D47" i="10"/>
  <c r="D48" i="7"/>
  <c r="D31" i="18"/>
  <c r="E31" s="1"/>
  <c r="D44" i="6"/>
  <c r="D11" i="17" l="1"/>
  <c r="E11" s="1"/>
  <c r="D66" i="1"/>
  <c r="E66" s="1"/>
  <c r="D50" i="10"/>
  <c r="E50" s="1"/>
  <c r="E52" s="1"/>
  <c r="D49" i="21"/>
  <c r="D32" i="20"/>
  <c r="E32" s="1"/>
  <c r="D36" i="19"/>
  <c r="E36" s="1"/>
  <c r="E233" i="3"/>
  <c r="C181"/>
  <c r="E34" i="17"/>
  <c r="C159" i="3"/>
  <c r="D38" i="25"/>
  <c r="E38" s="1"/>
  <c r="E85" i="3"/>
  <c r="E84"/>
  <c r="D33" i="10" s="1"/>
  <c r="E33" s="1"/>
  <c r="B61" i="21"/>
  <c r="B62"/>
  <c r="B63"/>
  <c r="D61" i="1"/>
  <c r="E61" s="1"/>
  <c r="E222" i="3"/>
  <c r="E204"/>
  <c r="E196"/>
  <c r="E195"/>
  <c r="E139"/>
  <c r="D38" i="7" s="1"/>
  <c r="E38" s="1"/>
  <c r="E30" i="17"/>
  <c r="D23" i="22"/>
  <c r="E23" s="1"/>
  <c r="C35" i="3"/>
  <c r="C23"/>
  <c r="E14"/>
  <c r="E32" i="17"/>
  <c r="E29"/>
  <c r="B38" i="22"/>
  <c r="E43" i="6"/>
  <c r="E41"/>
  <c r="D63" i="1"/>
  <c r="E63" s="1"/>
  <c r="D60"/>
  <c r="E60" s="1"/>
  <c r="D59"/>
  <c r="E59" s="1"/>
  <c r="D58"/>
  <c r="E58" s="1"/>
  <c r="D54"/>
  <c r="E54" s="1"/>
  <c r="E131" i="3"/>
  <c r="D35" i="18"/>
  <c r="E35" s="1"/>
  <c r="D34"/>
  <c r="E34" s="1"/>
  <c r="D48" i="21"/>
  <c r="E48" s="1"/>
  <c r="D41"/>
  <c r="D35"/>
  <c r="E35" s="1"/>
  <c r="D32"/>
  <c r="E32" s="1"/>
  <c r="D47"/>
  <c r="E47" s="1"/>
  <c r="D46"/>
  <c r="E46" s="1"/>
  <c r="D45"/>
  <c r="E45" s="1"/>
  <c r="D44"/>
  <c r="C116" i="3"/>
  <c r="D44" i="10"/>
  <c r="E44" s="1"/>
  <c r="E47" i="25"/>
  <c r="C108" i="3"/>
  <c r="D40" i="18"/>
  <c r="E40" s="1"/>
  <c r="D32" i="8"/>
  <c r="E32" s="1"/>
  <c r="E156" i="3"/>
  <c r="C76" i="1"/>
  <c r="E172" i="3"/>
  <c r="D28" i="22"/>
  <c r="E28" s="1"/>
  <c r="D33" i="21"/>
  <c r="E33" s="1"/>
  <c r="D30" i="8"/>
  <c r="E30" s="1"/>
  <c r="C125" i="3"/>
  <c r="E102"/>
  <c r="H155" i="27"/>
  <c r="B2" i="26"/>
  <c r="D34" i="10"/>
  <c r="E34" s="1"/>
  <c r="E197" i="3"/>
  <c r="D34" i="21" s="1"/>
  <c r="E34" s="1"/>
  <c r="D30" i="10"/>
  <c r="E30" s="1"/>
  <c r="E30" i="5"/>
  <c r="D13" i="25"/>
  <c r="E13" s="1"/>
  <c r="D33" i="1"/>
  <c r="E33" s="1"/>
  <c r="E19" i="3"/>
  <c r="E224"/>
  <c r="E182"/>
  <c r="D51" i="25"/>
  <c r="E51" s="1"/>
  <c r="D49"/>
  <c r="E49" s="1"/>
  <c r="E200" i="3"/>
  <c r="E56" i="25"/>
  <c r="E17" i="3"/>
  <c r="E67"/>
  <c r="E72"/>
  <c r="D23" i="1" s="1"/>
  <c r="E23" s="1"/>
  <c r="E96" i="3"/>
  <c r="E142"/>
  <c r="D55" i="1" s="1"/>
  <c r="E55" s="1"/>
  <c r="E159" i="3"/>
  <c r="D39" i="25" s="1"/>
  <c r="E39" s="1"/>
  <c r="D45"/>
  <c r="E45" s="1"/>
  <c r="E46"/>
  <c r="D52"/>
  <c r="E52" s="1"/>
  <c r="E10" i="3"/>
  <c r="E28" i="25" s="1"/>
  <c r="F2"/>
  <c r="D11"/>
  <c r="E11" s="1"/>
  <c r="D31" i="7"/>
  <c r="E31" s="1"/>
  <c r="D40"/>
  <c r="E40" s="1"/>
  <c r="D41"/>
  <c r="E41" s="1"/>
  <c r="D47"/>
  <c r="E47" s="1"/>
  <c r="D9"/>
  <c r="E9" s="1"/>
  <c r="D51"/>
  <c r="E51" s="1"/>
  <c r="D52"/>
  <c r="E52" s="1"/>
  <c r="B48" i="8"/>
  <c r="L12" i="3"/>
  <c r="L13" s="1"/>
  <c r="C21" s="1"/>
  <c r="E22" i="1"/>
  <c r="E69" i="3"/>
  <c r="D27" i="5" s="1"/>
  <c r="E27" s="1"/>
  <c r="E66" i="3"/>
  <c r="E209"/>
  <c r="H37"/>
  <c r="H38" s="1"/>
  <c r="H39" s="1"/>
  <c r="D27" i="6" s="1"/>
  <c r="E27" s="1"/>
  <c r="D31"/>
  <c r="E162" i="3"/>
  <c r="E155"/>
  <c r="D39" i="7" s="1"/>
  <c r="E39" s="1"/>
  <c r="D32" i="6"/>
  <c r="E32" s="1"/>
  <c r="E150" i="3"/>
  <c r="E2" i="6"/>
  <c r="D18" s="1"/>
  <c r="E18" s="1"/>
  <c r="D10"/>
  <c r="E10" s="1"/>
  <c r="D11"/>
  <c r="E11" s="1"/>
  <c r="E18" i="3"/>
  <c r="E79"/>
  <c r="E33" i="5"/>
  <c r="E31" i="9" s="1"/>
  <c r="E35" i="5"/>
  <c r="E33" i="9" s="1"/>
  <c r="D40" i="5"/>
  <c r="E11" i="3"/>
  <c r="F2" i="7" s="1"/>
  <c r="D15" s="1"/>
  <c r="E202" i="3"/>
  <c r="E140"/>
  <c r="E90"/>
  <c r="E73"/>
  <c r="C19"/>
  <c r="E24" i="21"/>
  <c r="E41"/>
  <c r="D45" i="7"/>
  <c r="E45" s="1"/>
  <c r="E44" i="21"/>
  <c r="D31"/>
  <c r="E31" s="1"/>
  <c r="D11"/>
  <c r="E11" s="1"/>
  <c r="D9"/>
  <c r="F3"/>
  <c r="C23"/>
  <c r="D42"/>
  <c r="E42" s="1"/>
  <c r="D27"/>
  <c r="E27" s="1"/>
  <c r="E100" i="3"/>
  <c r="E173"/>
  <c r="D39" i="21" s="1"/>
  <c r="E39" s="1"/>
  <c r="D44" i="7"/>
  <c r="E44" s="1"/>
  <c r="C18" i="9"/>
  <c r="D26"/>
  <c r="E26" s="1"/>
  <c r="E171" i="3"/>
  <c r="D9" i="9"/>
  <c r="E9" s="1"/>
  <c r="E11"/>
  <c r="B3"/>
  <c r="E3"/>
  <c r="C22"/>
  <c r="D53" i="1"/>
  <c r="E53" s="1"/>
  <c r="F3"/>
  <c r="F2" s="1"/>
  <c r="C46"/>
  <c r="D50"/>
  <c r="E50" s="1"/>
  <c r="E78" i="3"/>
  <c r="D29" i="21" s="1"/>
  <c r="E29" s="1"/>
  <c r="D31" i="1"/>
  <c r="E21"/>
  <c r="E77" i="3"/>
  <c r="E24" i="1"/>
  <c r="E25"/>
  <c r="E26"/>
  <c r="D27"/>
  <c r="E27" s="1"/>
  <c r="F1"/>
  <c r="F26" s="1"/>
  <c r="C78"/>
  <c r="B4"/>
  <c r="D37" i="10"/>
  <c r="E37" s="1"/>
  <c r="D38"/>
  <c r="E38" s="1"/>
  <c r="E27"/>
  <c r="F3"/>
  <c r="D32"/>
  <c r="E32" s="1"/>
  <c r="K40" i="3"/>
  <c r="K41" s="1"/>
  <c r="C38" s="1"/>
  <c r="D35" i="10"/>
  <c r="E35" s="1"/>
  <c r="D36"/>
  <c r="E36" s="1"/>
  <c r="G36" s="1"/>
  <c r="D39"/>
  <c r="E39" s="1"/>
  <c r="D42"/>
  <c r="E42" s="1"/>
  <c r="E226" i="3"/>
  <c r="D46" i="7" s="1"/>
  <c r="E46" s="1"/>
  <c r="D46" i="10"/>
  <c r="E46" s="1"/>
  <c r="C23"/>
  <c r="D9"/>
  <c r="D10" s="1"/>
  <c r="E10" s="1"/>
  <c r="B3"/>
  <c r="A72"/>
  <c r="A73"/>
  <c r="E73"/>
  <c r="D76"/>
  <c r="E39" i="17"/>
  <c r="D25"/>
  <c r="E25" s="1"/>
  <c r="D9"/>
  <c r="E3"/>
  <c r="B3"/>
  <c r="B53"/>
  <c r="B54" s="1"/>
  <c r="C21"/>
  <c r="D12" i="20"/>
  <c r="E12" s="1"/>
  <c r="E25"/>
  <c r="D29"/>
  <c r="E29" s="1"/>
  <c r="D33"/>
  <c r="E33" s="1"/>
  <c r="D36"/>
  <c r="E36" s="1"/>
  <c r="D10"/>
  <c r="E10" s="1"/>
  <c r="E4"/>
  <c r="C24"/>
  <c r="B49" i="8"/>
  <c r="E49"/>
  <c r="D33"/>
  <c r="E33" s="1"/>
  <c r="D29"/>
  <c r="E29" s="1"/>
  <c r="D11"/>
  <c r="E11" s="1"/>
  <c r="D26"/>
  <c r="E26" s="1"/>
  <c r="D31"/>
  <c r="E31" s="1"/>
  <c r="D35"/>
  <c r="E35" s="1"/>
  <c r="D36"/>
  <c r="E36" s="1"/>
  <c r="D9"/>
  <c r="E9" s="1"/>
  <c r="E23"/>
  <c r="F2"/>
  <c r="D21" s="1"/>
  <c r="E21" s="1"/>
  <c r="B3"/>
  <c r="B4" i="20" s="1"/>
  <c r="C22" i="8"/>
  <c r="F3"/>
  <c r="C63" i="25"/>
  <c r="E68"/>
  <c r="E69" s="1"/>
  <c r="C68"/>
  <c r="C69" s="1"/>
  <c r="A66"/>
  <c r="D31" i="5"/>
  <c r="C27" i="25"/>
  <c r="F3"/>
  <c r="B5"/>
  <c r="C3" i="19" s="1"/>
  <c r="E16" i="3"/>
  <c r="D36" i="18"/>
  <c r="E36" s="1"/>
  <c r="E149" i="3"/>
  <c r="D36" i="5"/>
  <c r="D36" i="7"/>
  <c r="E36" s="1"/>
  <c r="E167" i="3"/>
  <c r="E158"/>
  <c r="D32" i="19"/>
  <c r="E32" s="1"/>
  <c r="E141" i="3"/>
  <c r="E184"/>
  <c r="K31"/>
  <c r="K32" s="1"/>
  <c r="H12"/>
  <c r="H13" s="1"/>
  <c r="C26" s="1"/>
  <c r="H4"/>
  <c r="H5" s="1"/>
  <c r="C27" s="1"/>
  <c r="K22"/>
  <c r="K25" s="1"/>
  <c r="C28" s="1"/>
  <c r="D29" i="18" s="1"/>
  <c r="E29" s="1"/>
  <c r="E175" i="3"/>
  <c r="E161"/>
  <c r="E111"/>
  <c r="D43" i="10" s="1"/>
  <c r="E43" s="1"/>
  <c r="E97" i="3"/>
  <c r="E86"/>
  <c r="E136"/>
  <c r="C34"/>
  <c r="G25"/>
  <c r="G26" s="1"/>
  <c r="E135"/>
  <c r="E134"/>
  <c r="E83"/>
  <c r="E81"/>
  <c r="E80"/>
  <c r="D32" i="25" s="1"/>
  <c r="E99" i="3"/>
  <c r="E98"/>
  <c r="E71"/>
  <c r="D24" i="22" s="1"/>
  <c r="E70" i="3"/>
  <c r="D28" i="21" s="1"/>
  <c r="E28" s="1"/>
  <c r="E82" i="3"/>
  <c r="E68"/>
  <c r="E88"/>
  <c r="E76"/>
  <c r="E12"/>
  <c r="D11" i="18"/>
  <c r="E11" s="1"/>
  <c r="D30"/>
  <c r="E30" s="1"/>
  <c r="F2"/>
  <c r="D22" s="1"/>
  <c r="E22" s="1"/>
  <c r="D37"/>
  <c r="E37" s="1"/>
  <c r="D38"/>
  <c r="E38" s="1"/>
  <c r="D9"/>
  <c r="E9" s="1"/>
  <c r="F3"/>
  <c r="F31" s="1"/>
  <c r="D10"/>
  <c r="E10" s="1"/>
  <c r="B3"/>
  <c r="C24"/>
  <c r="C22" i="5"/>
  <c r="C23"/>
  <c r="C64" s="1"/>
  <c r="E2"/>
  <c r="F46" s="1"/>
  <c r="D10"/>
  <c r="E10" s="1"/>
  <c r="B4"/>
  <c r="C55"/>
  <c r="C57" s="1"/>
  <c r="C18" i="24"/>
  <c r="C14"/>
  <c r="C9"/>
  <c r="C10"/>
  <c r="C11"/>
  <c r="C13"/>
  <c r="C15"/>
  <c r="C17"/>
  <c r="C19"/>
  <c r="C20"/>
  <c r="C22"/>
  <c r="C23"/>
  <c r="C24"/>
  <c r="C25"/>
  <c r="C26"/>
  <c r="C27"/>
  <c r="C28"/>
  <c r="C29"/>
  <c r="C30"/>
  <c r="C31"/>
  <c r="C33"/>
  <c r="C34"/>
  <c r="C35"/>
  <c r="C7"/>
  <c r="C5"/>
  <c r="C4"/>
  <c r="F3" i="7"/>
  <c r="G53" s="1"/>
  <c r="B3"/>
  <c r="D12" i="19"/>
  <c r="E12" s="1"/>
  <c r="D30"/>
  <c r="E30" s="1"/>
  <c r="D34"/>
  <c r="E34" s="1"/>
  <c r="E22"/>
  <c r="A25"/>
  <c r="D35"/>
  <c r="E35" s="1"/>
  <c r="D33"/>
  <c r="E33" s="1"/>
  <c r="D31"/>
  <c r="E31" s="1"/>
  <c r="D29"/>
  <c r="E29" s="1"/>
  <c r="D28"/>
  <c r="E28" s="1"/>
  <c r="D27"/>
  <c r="E27" s="1"/>
  <c r="D25"/>
  <c r="E25" s="1"/>
  <c r="D10"/>
  <c r="E10" s="1"/>
  <c r="D9"/>
  <c r="E9" s="1"/>
  <c r="F3"/>
  <c r="C11"/>
  <c r="C18"/>
  <c r="C19"/>
  <c r="C26"/>
  <c r="C17" i="6"/>
  <c r="E3"/>
  <c r="B4"/>
  <c r="E2" i="22"/>
  <c r="D27"/>
  <c r="E27" s="1"/>
  <c r="E20"/>
  <c r="E3"/>
  <c r="D13" s="1"/>
  <c r="E13" s="1"/>
  <c r="D26"/>
  <c r="E26" s="1"/>
  <c r="D9"/>
  <c r="D10" s="1"/>
  <c r="E10" s="1"/>
  <c r="C24"/>
  <c r="C21" i="6"/>
  <c r="D45" i="10"/>
  <c r="E45" s="1"/>
  <c r="D42" i="7"/>
  <c r="E42" s="1"/>
  <c r="A75" i="10"/>
  <c r="E75"/>
  <c r="A74"/>
  <c r="E74"/>
  <c r="D43" i="21"/>
  <c r="E43" s="1"/>
  <c r="E22" i="6"/>
  <c r="E24" i="5"/>
  <c r="D36" i="6"/>
  <c r="E36" s="1"/>
  <c r="E25"/>
  <c r="D28" i="9"/>
  <c r="D48" i="25"/>
  <c r="E48" s="1"/>
  <c r="D25" i="22"/>
  <c r="E25" s="1"/>
  <c r="D31" i="20"/>
  <c r="E31" s="1"/>
  <c r="D30" i="21"/>
  <c r="E30" s="1"/>
  <c r="E23" i="9"/>
  <c r="D35" i="7"/>
  <c r="E35" s="1"/>
  <c r="E3" i="20"/>
  <c r="D17" s="1"/>
  <c r="E17" s="1"/>
  <c r="E22" i="17"/>
  <c r="D40" i="10"/>
  <c r="E40" s="1"/>
  <c r="F2" i="21"/>
  <c r="D15" s="1"/>
  <c r="E15" s="1"/>
  <c r="D35" i="20"/>
  <c r="E35" s="1"/>
  <c r="E76" i="10"/>
  <c r="B57"/>
  <c r="D39" i="5"/>
  <c r="F22" i="1"/>
  <c r="E28" i="7"/>
  <c r="D28" i="8"/>
  <c r="E28" s="1"/>
  <c r="D52" i="1"/>
  <c r="E52" s="1"/>
  <c r="D34" i="7"/>
  <c r="E34" s="1"/>
  <c r="D35" i="6"/>
  <c r="E35" s="1"/>
  <c r="E25" i="18"/>
  <c r="D41" i="10"/>
  <c r="E41" s="1"/>
  <c r="D57" i="1"/>
  <c r="E57" s="1"/>
  <c r="D38" i="5"/>
  <c r="D31" i="10"/>
  <c r="E31" s="1"/>
  <c r="D45" i="6"/>
  <c r="E45" s="1"/>
  <c r="D37" i="21"/>
  <c r="E37" s="1"/>
  <c r="D38"/>
  <c r="E38" s="1"/>
  <c r="D32" i="18"/>
  <c r="E32" s="1"/>
  <c r="D56" i="1"/>
  <c r="E56" s="1"/>
  <c r="D41" i="5"/>
  <c r="D40" i="21"/>
  <c r="E40" s="1"/>
  <c r="D33" i="7"/>
  <c r="E33" s="1"/>
  <c r="G33" s="1"/>
  <c r="D43" i="5"/>
  <c r="D55" i="25"/>
  <c r="E55" s="1"/>
  <c r="D34" i="20"/>
  <c r="E34" s="1"/>
  <c r="D62" i="1"/>
  <c r="E62" s="1"/>
  <c r="D50" i="25"/>
  <c r="E50" s="1"/>
  <c r="B58" i="21"/>
  <c r="E32" i="25" l="1"/>
  <c r="E47" i="1"/>
  <c r="E38" i="5"/>
  <c r="E36" i="9" s="1"/>
  <c r="D36"/>
  <c r="D35" i="17" s="1"/>
  <c r="E35" s="1"/>
  <c r="E39" i="5"/>
  <c r="E37" i="9" s="1"/>
  <c r="D37"/>
  <c r="D36" i="17" s="1"/>
  <c r="E36" s="1"/>
  <c r="E28" i="9"/>
  <c r="D27" i="17"/>
  <c r="E27" s="1"/>
  <c r="E31" i="5"/>
  <c r="E29" i="9" s="1"/>
  <c r="D29"/>
  <c r="E40" i="5"/>
  <c r="E38" i="9" s="1"/>
  <c r="D38"/>
  <c r="D37" i="17" s="1"/>
  <c r="E37" s="1"/>
  <c r="E43" i="5"/>
  <c r="D41" i="9"/>
  <c r="E41" i="5"/>
  <c r="E39" i="9" s="1"/>
  <c r="D39"/>
  <c r="D38" i="17" s="1"/>
  <c r="E38" s="1"/>
  <c r="E36" i="5"/>
  <c r="E34" i="9" s="1"/>
  <c r="D34"/>
  <c r="D33" i="17" s="1"/>
  <c r="E33" s="1"/>
  <c r="B9" i="26"/>
  <c r="B58" i="17"/>
  <c r="F37" i="5"/>
  <c r="F35" i="9" s="1"/>
  <c r="F42" i="5"/>
  <c r="F40" i="9" s="1"/>
  <c r="F32" i="5"/>
  <c r="F30" i="9" s="1"/>
  <c r="F62" i="1"/>
  <c r="F32" i="18"/>
  <c r="F28" i="5"/>
  <c r="F29"/>
  <c r="F41"/>
  <c r="F39" i="9" s="1"/>
  <c r="G30" i="6"/>
  <c r="G39"/>
  <c r="G42"/>
  <c r="G28"/>
  <c r="G26"/>
  <c r="G33"/>
  <c r="F53" i="25"/>
  <c r="F54"/>
  <c r="F40" i="5"/>
  <c r="F38" i="9" s="1"/>
  <c r="F55" i="25"/>
  <c r="F35"/>
  <c r="F41"/>
  <c r="F42"/>
  <c r="F43"/>
  <c r="F33" i="5"/>
  <c r="F31" i="9" s="1"/>
  <c r="D17" i="25"/>
  <c r="D25"/>
  <c r="E25" s="1"/>
  <c r="E17"/>
  <c r="F17" s="1"/>
  <c r="D18" i="22"/>
  <c r="E18" s="1"/>
  <c r="F21" i="1"/>
  <c r="D19" i="21"/>
  <c r="E19" s="1"/>
  <c r="F38" i="5"/>
  <c r="F36" i="9" s="1"/>
  <c r="D14" i="22"/>
  <c r="E14" s="1"/>
  <c r="D11" i="20"/>
  <c r="E11" s="1"/>
  <c r="E13" s="1"/>
  <c r="F67" i="1"/>
  <c r="E9" i="10"/>
  <c r="G9" s="1"/>
  <c r="G41"/>
  <c r="F25" i="1"/>
  <c r="G40" i="10"/>
  <c r="E31" i="6"/>
  <c r="E40"/>
  <c r="G41" i="7"/>
  <c r="F50" i="25"/>
  <c r="F43" i="5"/>
  <c r="F56" i="1"/>
  <c r="D16" i="6"/>
  <c r="E16" s="1"/>
  <c r="G16" s="1"/>
  <c r="F24" i="1"/>
  <c r="D14" i="8"/>
  <c r="E14" s="1"/>
  <c r="G31" i="10"/>
  <c r="D20" i="25"/>
  <c r="D18" i="21"/>
  <c r="E18" s="1"/>
  <c r="F57" i="1"/>
  <c r="F68"/>
  <c r="F52"/>
  <c r="G28" i="7"/>
  <c r="D19" i="18"/>
  <c r="E19" s="1"/>
  <c r="F19" s="1"/>
  <c r="F39" i="5"/>
  <c r="F37" i="9" s="1"/>
  <c r="D21" i="18"/>
  <c r="E21" s="1"/>
  <c r="F21" s="1"/>
  <c r="G44" i="10"/>
  <c r="F48" i="25"/>
  <c r="G45" i="10"/>
  <c r="G43"/>
  <c r="D18" i="25"/>
  <c r="E18" s="1"/>
  <c r="D10" i="8"/>
  <c r="E10" s="1"/>
  <c r="E12" s="1"/>
  <c r="G33" i="10"/>
  <c r="F10" i="18"/>
  <c r="F24" i="21"/>
  <c r="F63" i="1"/>
  <c r="D23" i="20"/>
  <c r="E23" s="1"/>
  <c r="D37" i="25"/>
  <c r="E37" s="1"/>
  <c r="F37" s="1"/>
  <c r="D36" i="21"/>
  <c r="E36" s="1"/>
  <c r="D16" i="8"/>
  <c r="E16" s="1"/>
  <c r="D16" i="22"/>
  <c r="E16" s="1"/>
  <c r="D24" i="25"/>
  <c r="E24" s="1"/>
  <c r="F24" s="1"/>
  <c r="D19"/>
  <c r="E19" s="1"/>
  <c r="F19" s="1"/>
  <c r="D43" i="7"/>
  <c r="E43" s="1"/>
  <c r="G43" s="1"/>
  <c r="D34" i="5"/>
  <c r="D17" i="22"/>
  <c r="E17" s="1"/>
  <c r="D34" i="6"/>
  <c r="D33" i="18"/>
  <c r="E33" s="1"/>
  <c r="F33" s="1"/>
  <c r="E3" i="5"/>
  <c r="D22" s="1"/>
  <c r="E22" s="1"/>
  <c r="F22" s="1"/>
  <c r="D10" i="7"/>
  <c r="E10" s="1"/>
  <c r="G10" s="1"/>
  <c r="E2" i="9"/>
  <c r="D16" s="1"/>
  <c r="E16" s="1"/>
  <c r="D27" i="8"/>
  <c r="E27" s="1"/>
  <c r="F2" i="19"/>
  <c r="D17" s="1"/>
  <c r="E17" s="1"/>
  <c r="D15" i="8"/>
  <c r="E15" s="1"/>
  <c r="D51" i="1"/>
  <c r="E51" s="1"/>
  <c r="F51" s="1"/>
  <c r="F22" i="18"/>
  <c r="D34" i="8"/>
  <c r="E34" s="1"/>
  <c r="D30" i="20"/>
  <c r="E30" s="1"/>
  <c r="E37" s="1"/>
  <c r="D31" i="25"/>
  <c r="E31" s="1"/>
  <c r="G32" i="7"/>
  <c r="E24" i="22"/>
  <c r="E29" s="1"/>
  <c r="G50" i="10"/>
  <c r="D15" i="22"/>
  <c r="E15" s="1"/>
  <c r="G46" i="7"/>
  <c r="E2" i="17"/>
  <c r="D15" s="1"/>
  <c r="E15" s="1"/>
  <c r="G39" i="10"/>
  <c r="E33" i="25"/>
  <c r="F33" s="1"/>
  <c r="D37" i="7"/>
  <c r="E37" s="1"/>
  <c r="G37" s="1"/>
  <c r="G51"/>
  <c r="G54" s="1"/>
  <c r="F45" i="25"/>
  <c r="F39"/>
  <c r="F35" i="18"/>
  <c r="F34"/>
  <c r="G46" i="10"/>
  <c r="G42"/>
  <c r="G35"/>
  <c r="G32"/>
  <c r="G27"/>
  <c r="G37"/>
  <c r="F27" i="1"/>
  <c r="F59"/>
  <c r="F51" i="25"/>
  <c r="G30" i="10"/>
  <c r="G10"/>
  <c r="F9" i="18"/>
  <c r="E13"/>
  <c r="F37"/>
  <c r="F30"/>
  <c r="F36" i="5"/>
  <c r="F34" i="9" s="1"/>
  <c r="G35" i="7"/>
  <c r="G9"/>
  <c r="D17" i="6"/>
  <c r="E17" s="1"/>
  <c r="G17" s="1"/>
  <c r="D15"/>
  <c r="D20" i="8"/>
  <c r="E20" s="1"/>
  <c r="D17"/>
  <c r="E17" s="1"/>
  <c r="G34" i="7"/>
  <c r="D12" i="25"/>
  <c r="E12" s="1"/>
  <c r="F12" s="1"/>
  <c r="D20" i="6"/>
  <c r="D19"/>
  <c r="E19" s="1"/>
  <c r="G19" s="1"/>
  <c r="G42" i="7"/>
  <c r="G36"/>
  <c r="G38" i="10"/>
  <c r="F27" i="5"/>
  <c r="F61" i="1"/>
  <c r="D26" i="19"/>
  <c r="E26" s="1"/>
  <c r="E37" s="1"/>
  <c r="D27" i="9"/>
  <c r="F32" i="25"/>
  <c r="E69" i="1"/>
  <c r="F69" s="1"/>
  <c r="F66"/>
  <c r="F11" i="18"/>
  <c r="F18" i="25"/>
  <c r="G45" i="7"/>
  <c r="G47"/>
  <c r="G40"/>
  <c r="F23" i="1"/>
  <c r="F13" i="25"/>
  <c r="F30" i="5"/>
  <c r="F60" i="1"/>
  <c r="F54"/>
  <c r="F35" i="5"/>
  <c r="F33" i="9" s="1"/>
  <c r="E12" i="6"/>
  <c r="G52" i="7"/>
  <c r="G31"/>
  <c r="D19" i="20"/>
  <c r="E19" s="1"/>
  <c r="D15"/>
  <c r="E15" s="1"/>
  <c r="D22"/>
  <c r="E22" s="1"/>
  <c r="D21"/>
  <c r="E21" s="1"/>
  <c r="D16"/>
  <c r="E16" s="1"/>
  <c r="D20"/>
  <c r="E20" s="1"/>
  <c r="E31" i="1"/>
  <c r="D32"/>
  <c r="E32" s="1"/>
  <c r="F32" s="1"/>
  <c r="E47" i="10"/>
  <c r="E44" i="6"/>
  <c r="D37"/>
  <c r="E37" s="1"/>
  <c r="G37" s="1"/>
  <c r="C153" i="3"/>
  <c r="D21" i="21"/>
  <c r="E21" s="1"/>
  <c r="D16"/>
  <c r="E16" s="1"/>
  <c r="D20"/>
  <c r="E20" s="1"/>
  <c r="D22"/>
  <c r="E22" s="1"/>
  <c r="D17"/>
  <c r="E17" s="1"/>
  <c r="D15" i="19"/>
  <c r="E15" s="1"/>
  <c r="F31" i="5"/>
  <c r="F29" i="9" s="1"/>
  <c r="F45" i="5"/>
  <c r="D16" i="18"/>
  <c r="E16" s="1"/>
  <c r="F16" s="1"/>
  <c r="D17"/>
  <c r="E17" s="1"/>
  <c r="F17" s="1"/>
  <c r="D18"/>
  <c r="E18" s="1"/>
  <c r="F18" s="1"/>
  <c r="D20"/>
  <c r="E20" s="1"/>
  <c r="F20" s="1"/>
  <c r="D23"/>
  <c r="E23" s="1"/>
  <c r="F23" s="1"/>
  <c r="F38" i="25"/>
  <c r="F47"/>
  <c r="D18" i="8"/>
  <c r="E18" s="1"/>
  <c r="D19"/>
  <c r="E19" s="1"/>
  <c r="E9" i="17"/>
  <c r="D10"/>
  <c r="E10" s="1"/>
  <c r="G34" i="10"/>
  <c r="G51"/>
  <c r="D10" i="21"/>
  <c r="E10" s="1"/>
  <c r="E9"/>
  <c r="F11" i="25"/>
  <c r="D27"/>
  <c r="E27" s="1"/>
  <c r="F27" s="1"/>
  <c r="F28" s="1"/>
  <c r="F29" s="1"/>
  <c r="D22"/>
  <c r="E22" s="1"/>
  <c r="F22" s="1"/>
  <c r="D21"/>
  <c r="E21" s="1"/>
  <c r="F21" s="1"/>
  <c r="D26"/>
  <c r="E26" s="1"/>
  <c r="F26" s="1"/>
  <c r="D23"/>
  <c r="E23" s="1"/>
  <c r="F23" s="1"/>
  <c r="G35" i="6"/>
  <c r="E28" i="1"/>
  <c r="F28" s="1"/>
  <c r="E54" i="7"/>
  <c r="D11" i="5"/>
  <c r="E11" s="1"/>
  <c r="F11" s="1"/>
  <c r="E9" i="22"/>
  <c r="E11" s="1"/>
  <c r="D18" i="20"/>
  <c r="E18" s="1"/>
  <c r="D10" i="9"/>
  <c r="E10" s="1"/>
  <c r="E12" s="1"/>
  <c r="F10" i="5"/>
  <c r="E49" i="21"/>
  <c r="E50" s="1"/>
  <c r="E48" i="7"/>
  <c r="F46" i="25"/>
  <c r="G18" i="6"/>
  <c r="G44" i="7"/>
  <c r="F29" i="18"/>
  <c r="F58" i="1"/>
  <c r="F42" i="18"/>
  <c r="F38"/>
  <c r="G38" i="7"/>
  <c r="F36" i="18"/>
  <c r="F50" i="1"/>
  <c r="F53"/>
  <c r="G39" i="7"/>
  <c r="F52" i="25"/>
  <c r="F55" i="1"/>
  <c r="F56" i="25"/>
  <c r="F49"/>
  <c r="F40" i="18"/>
  <c r="G10" i="6"/>
  <c r="G25"/>
  <c r="G22"/>
  <c r="G13"/>
  <c r="G48"/>
  <c r="G43"/>
  <c r="G45"/>
  <c r="G41"/>
  <c r="G36"/>
  <c r="F33" i="1"/>
  <c r="G11" i="6"/>
  <c r="G27"/>
  <c r="G14"/>
  <c r="G49"/>
  <c r="G47"/>
  <c r="G32"/>
  <c r="D16" i="1"/>
  <c r="E16" s="1"/>
  <c r="D10"/>
  <c r="E10" s="1"/>
  <c r="D14"/>
  <c r="E14" s="1"/>
  <c r="D37"/>
  <c r="E37" s="1"/>
  <c r="D45"/>
  <c r="E45" s="1"/>
  <c r="D36"/>
  <c r="E36" s="1"/>
  <c r="D43"/>
  <c r="E43" s="1"/>
  <c r="D12"/>
  <c r="E12" s="1"/>
  <c r="D17"/>
  <c r="E17" s="1"/>
  <c r="D44"/>
  <c r="E44" s="1"/>
  <c r="D39"/>
  <c r="E39" s="1"/>
  <c r="D40"/>
  <c r="E40" s="1"/>
  <c r="D11"/>
  <c r="E11" s="1"/>
  <c r="D41"/>
  <c r="E41" s="1"/>
  <c r="D46"/>
  <c r="E46" s="1"/>
  <c r="D18"/>
  <c r="E18" s="1"/>
  <c r="D15"/>
  <c r="E15" s="1"/>
  <c r="D42"/>
  <c r="E42" s="1"/>
  <c r="D38"/>
  <c r="E38" s="1"/>
  <c r="D13"/>
  <c r="E13" s="1"/>
  <c r="E15" i="7"/>
  <c r="D16"/>
  <c r="F2" i="10"/>
  <c r="E27" i="9" l="1"/>
  <c r="D26" i="17"/>
  <c r="E26" s="1"/>
  <c r="E34" i="5"/>
  <c r="D32" i="9"/>
  <c r="D31" i="17" s="1"/>
  <c r="E31" s="1"/>
  <c r="E41"/>
  <c r="E41" i="9"/>
  <c r="F41" i="17"/>
  <c r="F41" i="9"/>
  <c r="D41" i="17"/>
  <c r="D40"/>
  <c r="E40" s="1"/>
  <c r="D21" i="5"/>
  <c r="E21" s="1"/>
  <c r="F21" s="1"/>
  <c r="E11" i="10"/>
  <c r="G31" i="6"/>
  <c r="E44" i="5"/>
  <c r="D18" i="19"/>
  <c r="E18" s="1"/>
  <c r="E37" i="8"/>
  <c r="E29" i="25"/>
  <c r="F25"/>
  <c r="D20" i="17"/>
  <c r="E20" s="1"/>
  <c r="G11" i="10"/>
  <c r="G40" i="6"/>
  <c r="D16" i="5"/>
  <c r="E16" s="1"/>
  <c r="F16" s="1"/>
  <c r="D11" i="19"/>
  <c r="E11" s="1"/>
  <c r="E13" s="1"/>
  <c r="D18" i="5"/>
  <c r="E18" s="1"/>
  <c r="F18" s="1"/>
  <c r="E64" i="1"/>
  <c r="F64" s="1"/>
  <c r="E20" i="25"/>
  <c r="F20" s="1"/>
  <c r="F71"/>
  <c r="G44" i="6"/>
  <c r="E15"/>
  <c r="E34"/>
  <c r="E46" s="1"/>
  <c r="G46" s="1"/>
  <c r="G12"/>
  <c r="E20"/>
  <c r="E24" i="20"/>
  <c r="E26" s="1"/>
  <c r="E41" s="1"/>
  <c r="F24" s="1"/>
  <c r="E11" i="7"/>
  <c r="E41" i="18"/>
  <c r="E57" i="25"/>
  <c r="F57" s="1"/>
  <c r="F31"/>
  <c r="D18" i="9"/>
  <c r="E18" s="1"/>
  <c r="D20"/>
  <c r="E20" s="1"/>
  <c r="D19"/>
  <c r="E19" s="1"/>
  <c r="D17" i="5"/>
  <c r="E17" s="1"/>
  <c r="F17" s="1"/>
  <c r="D19" i="19"/>
  <c r="E19" s="1"/>
  <c r="D20"/>
  <c r="E20" s="1"/>
  <c r="D16"/>
  <c r="E16" s="1"/>
  <c r="D19" i="5"/>
  <c r="E19" s="1"/>
  <c r="F19" s="1"/>
  <c r="D20"/>
  <c r="E20" s="1"/>
  <c r="F20" s="1"/>
  <c r="D15" i="9"/>
  <c r="E15" s="1"/>
  <c r="D17"/>
  <c r="E17" s="1"/>
  <c r="D21"/>
  <c r="E21" s="1"/>
  <c r="E19" i="22"/>
  <c r="E21" s="1"/>
  <c r="G52" i="10"/>
  <c r="E15" i="25"/>
  <c r="F15" s="1"/>
  <c r="D17" i="17"/>
  <c r="E17" s="1"/>
  <c r="D16"/>
  <c r="E16" s="1"/>
  <c r="D19"/>
  <c r="E19" s="1"/>
  <c r="D18"/>
  <c r="E18" s="1"/>
  <c r="E22" i="8"/>
  <c r="E24" s="1"/>
  <c r="G11" i="7"/>
  <c r="F13" i="18"/>
  <c r="E24"/>
  <c r="E26" s="1"/>
  <c r="E23" i="21"/>
  <c r="E25" s="1"/>
  <c r="G47" i="10"/>
  <c r="G48" s="1"/>
  <c r="E48"/>
  <c r="G48" i="7"/>
  <c r="G49" s="1"/>
  <c r="E49"/>
  <c r="F31" i="1"/>
  <c r="E34"/>
  <c r="F34" s="1"/>
  <c r="E13" i="5"/>
  <c r="F13" s="1"/>
  <c r="E12" i="21"/>
  <c r="E12" i="17"/>
  <c r="F41" i="18"/>
  <c r="D20" i="10"/>
  <c r="E20" s="1"/>
  <c r="D24"/>
  <c r="E24" s="1"/>
  <c r="D19"/>
  <c r="E19" s="1"/>
  <c r="D17"/>
  <c r="E17" s="1"/>
  <c r="D22"/>
  <c r="E22" s="1"/>
  <c r="D25"/>
  <c r="E25" s="1"/>
  <c r="D16"/>
  <c r="E16" s="1"/>
  <c r="D14"/>
  <c r="E14" s="1"/>
  <c r="D23"/>
  <c r="E23" s="1"/>
  <c r="D21"/>
  <c r="E21" s="1"/>
  <c r="D15"/>
  <c r="E15" s="1"/>
  <c r="D18"/>
  <c r="E18" s="1"/>
  <c r="G15" i="7"/>
  <c r="F38" i="1"/>
  <c r="F15"/>
  <c r="E48"/>
  <c r="F46"/>
  <c r="F47" s="1"/>
  <c r="F11"/>
  <c r="F39"/>
  <c r="F17"/>
  <c r="F43"/>
  <c r="F45"/>
  <c r="F14"/>
  <c r="F16"/>
  <c r="F24" i="18"/>
  <c r="F25" s="1"/>
  <c r="F26" s="1"/>
  <c r="E16" i="7"/>
  <c r="D17"/>
  <c r="F13" i="1"/>
  <c r="F42"/>
  <c r="F18"/>
  <c r="F41"/>
  <c r="F40"/>
  <c r="F44"/>
  <c r="F12"/>
  <c r="F36"/>
  <c r="F37"/>
  <c r="E19"/>
  <c r="F10"/>
  <c r="F34" i="5" l="1"/>
  <c r="E32" i="9"/>
  <c r="E43" s="1"/>
  <c r="E42" i="17"/>
  <c r="E21" i="6"/>
  <c r="E23" s="1"/>
  <c r="G23" s="1"/>
  <c r="F59" i="25"/>
  <c r="D23" i="5"/>
  <c r="F23"/>
  <c r="F24" s="1"/>
  <c r="F25" s="1"/>
  <c r="E21" i="19"/>
  <c r="E23" s="1"/>
  <c r="E41" s="1"/>
  <c r="G34" i="6"/>
  <c r="G20"/>
  <c r="G15"/>
  <c r="E43" i="18"/>
  <c r="G31" s="1"/>
  <c r="E22" i="9"/>
  <c r="E24" s="1"/>
  <c r="E23" i="5"/>
  <c r="E25" s="1"/>
  <c r="E47" s="1"/>
  <c r="F43" i="18"/>
  <c r="E59" i="25"/>
  <c r="E21" i="17"/>
  <c r="E23" s="1"/>
  <c r="E55" i="21"/>
  <c r="F12" s="1"/>
  <c r="F19" i="1"/>
  <c r="G16" i="7"/>
  <c r="E32" i="22"/>
  <c r="F21" s="1"/>
  <c r="G15" i="10"/>
  <c r="G23"/>
  <c r="G16"/>
  <c r="G22"/>
  <c r="G19"/>
  <c r="G20"/>
  <c r="E41" i="8"/>
  <c r="E17" i="7"/>
  <c r="D18"/>
  <c r="F32" i="20"/>
  <c r="F21"/>
  <c r="F34"/>
  <c r="F16"/>
  <c r="E42"/>
  <c r="F13"/>
  <c r="E45"/>
  <c r="F44" s="1"/>
  <c r="F39"/>
  <c r="F11"/>
  <c r="F12"/>
  <c r="F31"/>
  <c r="D15" i="26"/>
  <c r="E15" s="1"/>
  <c r="F40" i="20"/>
  <c r="F30"/>
  <c r="F36"/>
  <c r="F33"/>
  <c r="F29"/>
  <c r="F25"/>
  <c r="F26" s="1"/>
  <c r="F10"/>
  <c r="F35"/>
  <c r="F18"/>
  <c r="F19"/>
  <c r="F15"/>
  <c r="F22"/>
  <c r="F20"/>
  <c r="F23"/>
  <c r="F17"/>
  <c r="G40" i="18"/>
  <c r="F48" i="1"/>
  <c r="E70"/>
  <c r="G18" i="10"/>
  <c r="G21"/>
  <c r="E26"/>
  <c r="G14"/>
  <c r="G25"/>
  <c r="G17"/>
  <c r="G24"/>
  <c r="G30" i="18" l="1"/>
  <c r="E47" i="9"/>
  <c r="F23" s="1"/>
  <c r="G46" i="5"/>
  <c r="G32"/>
  <c r="F32" i="9"/>
  <c r="F44" i="5"/>
  <c r="F47" s="1"/>
  <c r="E46" i="17"/>
  <c r="G37" i="18"/>
  <c r="G20"/>
  <c r="G37" i="5"/>
  <c r="G42"/>
  <c r="G38" i="18"/>
  <c r="G17"/>
  <c r="G19"/>
  <c r="G28" i="5"/>
  <c r="G29"/>
  <c r="E50" i="6"/>
  <c r="F39" s="1"/>
  <c r="G21"/>
  <c r="G53" i="25"/>
  <c r="G54"/>
  <c r="G41"/>
  <c r="G43"/>
  <c r="G42"/>
  <c r="G25"/>
  <c r="G35"/>
  <c r="G22" i="18"/>
  <c r="G33"/>
  <c r="G10"/>
  <c r="G16"/>
  <c r="G23"/>
  <c r="G43"/>
  <c r="G41"/>
  <c r="F70" i="1"/>
  <c r="D10" i="26"/>
  <c r="E10" s="1"/>
  <c r="G34" i="18"/>
  <c r="G9"/>
  <c r="G11"/>
  <c r="G35"/>
  <c r="G36"/>
  <c r="G18"/>
  <c r="G32"/>
  <c r="G21"/>
  <c r="G42"/>
  <c r="G29"/>
  <c r="B46"/>
  <c r="G13"/>
  <c r="G12" i="25"/>
  <c r="G55"/>
  <c r="G23"/>
  <c r="G27"/>
  <c r="G28" s="1"/>
  <c r="G29" s="1"/>
  <c r="G47"/>
  <c r="G52"/>
  <c r="G24"/>
  <c r="G50"/>
  <c r="G57"/>
  <c r="G21"/>
  <c r="F61"/>
  <c r="G49"/>
  <c r="G45"/>
  <c r="G38"/>
  <c r="D4" i="26"/>
  <c r="E4" s="1"/>
  <c r="G18" i="25"/>
  <c r="G51"/>
  <c r="G19"/>
  <c r="G26"/>
  <c r="G20"/>
  <c r="G11"/>
  <c r="G32"/>
  <c r="G33"/>
  <c r="F60"/>
  <c r="G46"/>
  <c r="G39"/>
  <c r="G13"/>
  <c r="G22"/>
  <c r="G37"/>
  <c r="G31"/>
  <c r="G48"/>
  <c r="G59"/>
  <c r="G56"/>
  <c r="G17"/>
  <c r="F62"/>
  <c r="G15"/>
  <c r="F45" i="21"/>
  <c r="F44"/>
  <c r="F39"/>
  <c r="F43"/>
  <c r="F47"/>
  <c r="E56"/>
  <c r="F19"/>
  <c r="F42"/>
  <c r="F18"/>
  <c r="F11"/>
  <c r="B60"/>
  <c r="F22"/>
  <c r="F34"/>
  <c r="F29"/>
  <c r="F16"/>
  <c r="F27"/>
  <c r="F40"/>
  <c r="F46"/>
  <c r="F36"/>
  <c r="F37"/>
  <c r="D16" i="26"/>
  <c r="E16" s="1"/>
  <c r="F32" i="21"/>
  <c r="F15"/>
  <c r="F10"/>
  <c r="F49"/>
  <c r="F30"/>
  <c r="F9"/>
  <c r="F52"/>
  <c r="F35"/>
  <c r="F48"/>
  <c r="F28"/>
  <c r="F54"/>
  <c r="F41"/>
  <c r="F38"/>
  <c r="F17"/>
  <c r="F31"/>
  <c r="F20"/>
  <c r="F53"/>
  <c r="F33"/>
  <c r="F21"/>
  <c r="F23"/>
  <c r="F50"/>
  <c r="F25"/>
  <c r="E28" i="10"/>
  <c r="G64" i="1"/>
  <c r="G63"/>
  <c r="G28"/>
  <c r="G25"/>
  <c r="D5" i="26"/>
  <c r="E5" s="1"/>
  <c r="G31" i="1"/>
  <c r="G53"/>
  <c r="G62"/>
  <c r="G57"/>
  <c r="G68"/>
  <c r="G27"/>
  <c r="G51"/>
  <c r="C79"/>
  <c r="B73"/>
  <c r="G34"/>
  <c r="G55"/>
  <c r="G24"/>
  <c r="G70"/>
  <c r="G22"/>
  <c r="G21"/>
  <c r="G32"/>
  <c r="G54"/>
  <c r="G69"/>
  <c r="G61"/>
  <c r="G26"/>
  <c r="G67"/>
  <c r="G33"/>
  <c r="G59"/>
  <c r="G52"/>
  <c r="G56"/>
  <c r="G50"/>
  <c r="G58"/>
  <c r="G66"/>
  <c r="G23"/>
  <c r="G60"/>
  <c r="G46"/>
  <c r="G47" s="1"/>
  <c r="G11"/>
  <c r="G39"/>
  <c r="G17"/>
  <c r="G43"/>
  <c r="G45"/>
  <c r="G14"/>
  <c r="G16"/>
  <c r="G13"/>
  <c r="G42"/>
  <c r="G18"/>
  <c r="G41"/>
  <c r="G40"/>
  <c r="G44"/>
  <c r="G12"/>
  <c r="G36"/>
  <c r="G37"/>
  <c r="G38"/>
  <c r="G15"/>
  <c r="G10"/>
  <c r="G17" i="7"/>
  <c r="F15" i="8"/>
  <c r="F40"/>
  <c r="B50"/>
  <c r="D14" i="26"/>
  <c r="E14" s="1"/>
  <c r="F30" i="8"/>
  <c r="F26"/>
  <c r="F36"/>
  <c r="F14"/>
  <c r="F9"/>
  <c r="F28"/>
  <c r="F33"/>
  <c r="F10"/>
  <c r="F31"/>
  <c r="F17"/>
  <c r="F37"/>
  <c r="F35"/>
  <c r="F32"/>
  <c r="F23"/>
  <c r="F16"/>
  <c r="F34"/>
  <c r="E42"/>
  <c r="F29"/>
  <c r="F11"/>
  <c r="F39"/>
  <c r="F20"/>
  <c r="F12"/>
  <c r="F27"/>
  <c r="F19"/>
  <c r="F21"/>
  <c r="F18"/>
  <c r="F22"/>
  <c r="F37" i="17"/>
  <c r="F36"/>
  <c r="F44"/>
  <c r="F33"/>
  <c r="F29"/>
  <c r="F10"/>
  <c r="F12"/>
  <c r="F22"/>
  <c r="F35"/>
  <c r="F31"/>
  <c r="F9"/>
  <c r="E47"/>
  <c r="F32"/>
  <c r="F26"/>
  <c r="F27"/>
  <c r="F34"/>
  <c r="D9" i="26"/>
  <c r="E9" s="1"/>
  <c r="F46" i="17"/>
  <c r="B50"/>
  <c r="F45"/>
  <c r="F19"/>
  <c r="F25"/>
  <c r="F40"/>
  <c r="F39"/>
  <c r="F15"/>
  <c r="F30"/>
  <c r="F20"/>
  <c r="F18"/>
  <c r="F11"/>
  <c r="F38"/>
  <c r="F16"/>
  <c r="F17"/>
  <c r="F21"/>
  <c r="F20" i="19"/>
  <c r="F31"/>
  <c r="E42"/>
  <c r="F13"/>
  <c r="D13" i="26"/>
  <c r="E13" s="1"/>
  <c r="F34" i="19"/>
  <c r="F11"/>
  <c r="F10"/>
  <c r="B45"/>
  <c r="F15"/>
  <c r="F32"/>
  <c r="F36"/>
  <c r="F39"/>
  <c r="F33"/>
  <c r="F35"/>
  <c r="F22"/>
  <c r="F37"/>
  <c r="F9"/>
  <c r="F26"/>
  <c r="F19"/>
  <c r="F28"/>
  <c r="F41"/>
  <c r="F27"/>
  <c r="F25"/>
  <c r="F30"/>
  <c r="F29"/>
  <c r="F40"/>
  <c r="F12"/>
  <c r="F17"/>
  <c r="F16"/>
  <c r="F18"/>
  <c r="F21"/>
  <c r="G30" i="5"/>
  <c r="G16"/>
  <c r="G13"/>
  <c r="G45"/>
  <c r="G33"/>
  <c r="G17"/>
  <c r="G20"/>
  <c r="G22"/>
  <c r="B50"/>
  <c r="G31"/>
  <c r="G19"/>
  <c r="G34"/>
  <c r="G43"/>
  <c r="G10"/>
  <c r="G40"/>
  <c r="G38"/>
  <c r="G39"/>
  <c r="G36"/>
  <c r="G18"/>
  <c r="G41"/>
  <c r="G35"/>
  <c r="D7" i="26"/>
  <c r="E7" s="1"/>
  <c r="C58" i="5"/>
  <c r="G11"/>
  <c r="G27"/>
  <c r="G44"/>
  <c r="G23"/>
  <c r="G24" s="1"/>
  <c r="G21"/>
  <c r="G50" i="6"/>
  <c r="F46"/>
  <c r="F43"/>
  <c r="F18"/>
  <c r="F44"/>
  <c r="F10"/>
  <c r="F36"/>
  <c r="F45"/>
  <c r="F40"/>
  <c r="F35"/>
  <c r="F19"/>
  <c r="F31"/>
  <c r="F27"/>
  <c r="F20"/>
  <c r="F32"/>
  <c r="F41"/>
  <c r="F15"/>
  <c r="D6" i="26"/>
  <c r="E6" s="1"/>
  <c r="F49" i="6"/>
  <c r="F48"/>
  <c r="F12"/>
  <c r="F34"/>
  <c r="F11"/>
  <c r="F17"/>
  <c r="B53"/>
  <c r="F16"/>
  <c r="F37"/>
  <c r="F25"/>
  <c r="F21"/>
  <c r="F22" s="1"/>
  <c r="G19" i="1"/>
  <c r="D20" i="7"/>
  <c r="E20" s="1"/>
  <c r="E18"/>
  <c r="D19"/>
  <c r="F27" i="22"/>
  <c r="F10"/>
  <c r="F28"/>
  <c r="F11"/>
  <c r="F16"/>
  <c r="F15"/>
  <c r="F24"/>
  <c r="F18"/>
  <c r="F32"/>
  <c r="F9"/>
  <c r="F29"/>
  <c r="D17" i="26"/>
  <c r="E17" s="1"/>
  <c r="E33" i="22"/>
  <c r="F23"/>
  <c r="F20"/>
  <c r="F31"/>
  <c r="F25"/>
  <c r="F17"/>
  <c r="F14"/>
  <c r="B39"/>
  <c r="B36"/>
  <c r="F13"/>
  <c r="F26"/>
  <c r="F19"/>
  <c r="G26" i="10"/>
  <c r="G28" s="1"/>
  <c r="G53" s="1"/>
  <c r="G48" i="1"/>
  <c r="F37" i="20"/>
  <c r="F41" s="1"/>
  <c r="F24" i="8"/>
  <c r="F23" i="17"/>
  <c r="F23" i="19"/>
  <c r="G25" i="5"/>
  <c r="F22" i="9" l="1"/>
  <c r="F15"/>
  <c r="F20"/>
  <c r="F28"/>
  <c r="F12"/>
  <c r="E48"/>
  <c r="F27"/>
  <c r="F16"/>
  <c r="F45"/>
  <c r="B51"/>
  <c r="F47"/>
  <c r="F43"/>
  <c r="F24"/>
  <c r="F19"/>
  <c r="F18"/>
  <c r="F21"/>
  <c r="F10"/>
  <c r="F9"/>
  <c r="F26"/>
  <c r="D8" i="26"/>
  <c r="E8" s="1"/>
  <c r="F17" i="9"/>
  <c r="F46"/>
  <c r="F11"/>
  <c r="F26" i="6"/>
  <c r="G47" i="5"/>
  <c r="F42" i="17"/>
  <c r="F23" i="6"/>
  <c r="F50" s="1"/>
  <c r="F28"/>
  <c r="F33"/>
  <c r="F42"/>
  <c r="F30"/>
  <c r="G24" i="18"/>
  <c r="G25" s="1"/>
  <c r="G26" s="1"/>
  <c r="F63" i="25"/>
  <c r="F55" i="21"/>
  <c r="E19" i="7"/>
  <c r="D21"/>
  <c r="G20"/>
  <c r="C63" i="5"/>
  <c r="E53" i="10"/>
  <c r="F28" s="1"/>
  <c r="G18" i="7"/>
  <c r="C60" i="5"/>
  <c r="C61"/>
  <c r="C59"/>
  <c r="C80" i="1"/>
  <c r="C82"/>
  <c r="C81"/>
  <c r="F41" i="8"/>
  <c r="F36" i="10" l="1"/>
  <c r="F27"/>
  <c r="F41"/>
  <c r="B56"/>
  <c r="F50"/>
  <c r="F44"/>
  <c r="F10"/>
  <c r="F40"/>
  <c r="F43"/>
  <c r="F32"/>
  <c r="F51"/>
  <c r="F39"/>
  <c r="F48"/>
  <c r="F33"/>
  <c r="F35"/>
  <c r="B58"/>
  <c r="F47"/>
  <c r="F34"/>
  <c r="F37"/>
  <c r="D12" i="26"/>
  <c r="E12" s="1"/>
  <c r="F30" i="10"/>
  <c r="F9"/>
  <c r="F45"/>
  <c r="E56"/>
  <c r="F31"/>
  <c r="F11"/>
  <c r="F46"/>
  <c r="F42"/>
  <c r="F52"/>
  <c r="F38"/>
  <c r="F15"/>
  <c r="F23"/>
  <c r="F16"/>
  <c r="F22"/>
  <c r="F19"/>
  <c r="F20"/>
  <c r="F18"/>
  <c r="F21"/>
  <c r="F24"/>
  <c r="F14"/>
  <c r="F25"/>
  <c r="F17"/>
  <c r="F26"/>
  <c r="G19" i="7"/>
  <c r="E21"/>
  <c r="D22"/>
  <c r="F53" i="10" l="1"/>
  <c r="E22" i="7"/>
  <c r="D23"/>
  <c r="G21"/>
  <c r="G22" l="1"/>
  <c r="E23"/>
  <c r="D24"/>
  <c r="D25" l="1"/>
  <c r="E24"/>
  <c r="G23"/>
  <c r="D26" l="1"/>
  <c r="E26" s="1"/>
  <c r="E25"/>
  <c r="G24"/>
  <c r="G26" l="1"/>
  <c r="E27"/>
  <c r="G25"/>
  <c r="G27" l="1"/>
  <c r="G29" s="1"/>
  <c r="G55" s="1"/>
  <c r="E29"/>
  <c r="E55" l="1"/>
  <c r="F32" s="1"/>
  <c r="F37" l="1"/>
  <c r="F43"/>
  <c r="F41"/>
  <c r="F53"/>
  <c r="F36"/>
  <c r="F11"/>
  <c r="F10"/>
  <c r="F31"/>
  <c r="F47"/>
  <c r="F51"/>
  <c r="F49"/>
  <c r="F38"/>
  <c r="F33"/>
  <c r="F45"/>
  <c r="F34"/>
  <c r="F42"/>
  <c r="F48"/>
  <c r="F52"/>
  <c r="F39"/>
  <c r="B58"/>
  <c r="B59" s="1"/>
  <c r="F35"/>
  <c r="F54"/>
  <c r="F9"/>
  <c r="D11" i="26"/>
  <c r="E11" s="1"/>
  <c r="F44" i="7"/>
  <c r="F28"/>
  <c r="F46"/>
  <c r="F40"/>
  <c r="F15"/>
  <c r="F16"/>
  <c r="F17"/>
  <c r="F20"/>
  <c r="F18"/>
  <c r="F19"/>
  <c r="F21"/>
  <c r="F22"/>
  <c r="F23"/>
  <c r="F24"/>
  <c r="F26"/>
  <c r="F25"/>
  <c r="F27"/>
  <c r="F29"/>
  <c r="F55" l="1"/>
  <c r="E59" i="10"/>
  <c r="B60" l="1"/>
  <c r="E60" s="1"/>
</calcChain>
</file>

<file path=xl/comments1.xml><?xml version="1.0" encoding="utf-8"?>
<comments xmlns="http://schemas.openxmlformats.org/spreadsheetml/2006/main">
  <authors>
    <author>user</author>
  </authors>
  <commentList>
    <comment ref="D2" authorId="0">
      <text>
        <r>
          <rPr>
            <b/>
            <sz val="8"/>
            <color indexed="81"/>
            <rFont val="Tahoma"/>
            <family val="2"/>
          </rPr>
          <t>user:</t>
        </r>
        <r>
          <rPr>
            <sz val="8"/>
            <color indexed="81"/>
            <rFont val="Tahoma"/>
            <family val="2"/>
          </rPr>
          <t xml:space="preserve">
revisar con avios</t>
        </r>
      </text>
    </comment>
  </commentList>
</comments>
</file>

<file path=xl/comments2.xml><?xml version="1.0" encoding="utf-8"?>
<comments xmlns="http://schemas.openxmlformats.org/spreadsheetml/2006/main">
  <authors>
    <author>mag</author>
    <author>user</author>
    <author>M.A.G.</author>
    <author>ROLANDO TENCIO</author>
  </authors>
  <commentList>
    <comment ref="C7" authorId="0">
      <text>
        <r>
          <rPr>
            <b/>
            <sz val="9"/>
            <color indexed="81"/>
            <rFont val="Tahoma"/>
            <charset val="1"/>
          </rPr>
          <t>mag:</t>
        </r>
        <r>
          <rPr>
            <sz val="9"/>
            <color indexed="81"/>
            <rFont val="Tahoma"/>
            <charset val="1"/>
          </rPr>
          <t xml:space="preserve">
preguntar a hector pacayas</t>
        </r>
      </text>
    </comment>
    <comment ref="B9" authorId="0">
      <text>
        <r>
          <rPr>
            <b/>
            <sz val="9"/>
            <color indexed="81"/>
            <rFont val="Tahoma"/>
            <family val="2"/>
          </rPr>
          <t>mag:</t>
        </r>
        <r>
          <rPr>
            <sz val="9"/>
            <color indexed="81"/>
            <rFont val="Tahoma"/>
            <family val="2"/>
          </rPr>
          <t xml:space="preserve">
25% PAGAN X CARGA</t>
        </r>
      </text>
    </comment>
    <comment ref="E9" authorId="0">
      <text>
        <r>
          <rPr>
            <b/>
            <sz val="9"/>
            <color indexed="81"/>
            <rFont val="Tahoma"/>
            <family val="2"/>
          </rPr>
          <t>fuente : CHN</t>
        </r>
        <r>
          <rPr>
            <sz val="9"/>
            <color indexed="81"/>
            <rFont val="Tahoma"/>
            <family val="2"/>
          </rPr>
          <t xml:space="preserve">
</t>
        </r>
      </text>
    </comment>
    <comment ref="A10" authorId="1">
      <text>
        <r>
          <rPr>
            <b/>
            <sz val="8"/>
            <color indexed="81"/>
            <rFont val="Tahoma"/>
            <family val="2"/>
          </rPr>
          <t>La mayoría no paga cargas, mano de obra por contrato.</t>
        </r>
        <r>
          <rPr>
            <sz val="8"/>
            <color indexed="81"/>
            <rFont val="Tahoma"/>
            <family val="2"/>
          </rPr>
          <t xml:space="preserve">
</t>
        </r>
      </text>
    </comment>
    <comment ref="B11" authorId="2">
      <text>
        <r>
          <rPr>
            <b/>
            <sz val="8"/>
            <color indexed="81"/>
            <rFont val="Tahoma"/>
            <family val="2"/>
          </rPr>
          <t>M.A.G.:</t>
        </r>
        <r>
          <rPr>
            <sz val="8"/>
            <color indexed="81"/>
            <rFont val="Tahoma"/>
            <family val="2"/>
          </rPr>
          <t xml:space="preserve">
precio real en finca</t>
        </r>
      </text>
    </comment>
    <comment ref="C11" authorId="0">
      <text>
        <r>
          <rPr>
            <b/>
            <sz val="9"/>
            <color indexed="81"/>
            <rFont val="Tahoma"/>
            <family val="2"/>
          </rPr>
          <t>precio ocila entre 5300 y 5833/jl  o sea 32000 a 35000/sem</t>
        </r>
        <r>
          <rPr>
            <sz val="9"/>
            <color indexed="81"/>
            <rFont val="Tahoma"/>
            <family val="2"/>
          </rPr>
          <t xml:space="preserve">
</t>
        </r>
      </text>
    </comment>
    <comment ref="B14" authorId="0">
      <text>
        <r>
          <rPr>
            <b/>
            <sz val="9"/>
            <color indexed="81"/>
            <rFont val="Tahoma"/>
            <family val="2"/>
          </rPr>
          <t>CORROBORAR</t>
        </r>
        <r>
          <rPr>
            <sz val="9"/>
            <color indexed="81"/>
            <rFont val="Tahoma"/>
            <family val="2"/>
          </rPr>
          <t xml:space="preserve">
</t>
        </r>
      </text>
    </comment>
    <comment ref="K14" authorId="1">
      <text>
        <r>
          <rPr>
            <b/>
            <sz val="8"/>
            <color indexed="81"/>
            <rFont val="Tahoma"/>
            <family val="2"/>
          </rPr>
          <t>Varia según variedad</t>
        </r>
      </text>
    </comment>
    <comment ref="C16" authorId="3">
      <text>
        <r>
          <rPr>
            <b/>
            <sz val="8"/>
            <color indexed="81"/>
            <rFont val="Tahoma"/>
            <family val="2"/>
          </rPr>
          <t>ROLANDO TENCIO:</t>
        </r>
        <r>
          <rPr>
            <sz val="8"/>
            <color indexed="81"/>
            <rFont val="Tahoma"/>
            <family val="2"/>
          </rPr>
          <t xml:space="preserve">
semilla escasa por nematodo.</t>
        </r>
      </text>
    </comment>
    <comment ref="C18" authorId="1">
      <text>
        <r>
          <rPr>
            <b/>
            <sz val="8"/>
            <color indexed="81"/>
            <rFont val="Tahoma"/>
            <family val="2"/>
          </rPr>
          <t>No tiene</t>
        </r>
      </text>
    </comment>
    <comment ref="A20" authorId="1">
      <text>
        <r>
          <rPr>
            <b/>
            <sz val="8"/>
            <color indexed="81"/>
            <rFont val="Tahoma"/>
            <family val="2"/>
          </rPr>
          <t>1 tarro: 58.000 col (c/tarro tiene 420 gs semilla yates).</t>
        </r>
        <r>
          <rPr>
            <sz val="8"/>
            <color indexed="81"/>
            <rFont val="Tahoma"/>
            <family val="2"/>
          </rPr>
          <t xml:space="preserve">
</t>
        </r>
      </text>
    </comment>
    <comment ref="C20" authorId="0">
      <text>
        <r>
          <rPr>
            <b/>
            <sz val="9"/>
            <color indexed="81"/>
            <rFont val="Tahoma"/>
            <family val="2"/>
          </rPr>
          <t>mag:</t>
        </r>
        <r>
          <rPr>
            <sz val="9"/>
            <color indexed="81"/>
            <rFont val="Tahoma"/>
            <family val="2"/>
          </rPr>
          <t xml:space="preserve">
llamar a el zurco</t>
        </r>
      </text>
    </comment>
    <comment ref="D20" authorId="0">
      <text>
        <r>
          <rPr>
            <b/>
            <sz val="9"/>
            <color indexed="81"/>
            <rFont val="Tahoma"/>
            <family val="2"/>
          </rPr>
          <t>sobre 100 mil semillas</t>
        </r>
        <r>
          <rPr>
            <sz val="9"/>
            <color indexed="81"/>
            <rFont val="Tahoma"/>
            <family val="2"/>
          </rPr>
          <t xml:space="preserve">
</t>
        </r>
      </text>
    </comment>
    <comment ref="E22" authorId="0">
      <text>
        <r>
          <rPr>
            <b/>
            <sz val="9"/>
            <color indexed="81"/>
            <rFont val="Tahoma"/>
            <family val="2"/>
          </rPr>
          <t>incluye flete y semilla</t>
        </r>
        <r>
          <rPr>
            <sz val="9"/>
            <color indexed="81"/>
            <rFont val="Tahoma"/>
            <family val="2"/>
          </rPr>
          <t xml:space="preserve">
</t>
        </r>
      </text>
    </comment>
    <comment ref="E27" authorId="1">
      <text>
        <r>
          <rPr>
            <b/>
            <sz val="8"/>
            <color indexed="81"/>
            <rFont val="Tahoma"/>
            <family val="2"/>
          </rPr>
          <t>Costo almacigo:
3 col/pl</t>
        </r>
        <r>
          <rPr>
            <sz val="8"/>
            <color indexed="81"/>
            <rFont val="Tahoma"/>
            <family val="2"/>
          </rPr>
          <t xml:space="preserve">
</t>
        </r>
      </text>
    </comment>
    <comment ref="A30" authorId="0">
      <text>
        <r>
          <rPr>
            <b/>
            <sz val="9"/>
            <color indexed="81"/>
            <rFont val="Tahoma"/>
            <family val="2"/>
          </rPr>
          <t>PRECIO HIBRIDO DE 90 A 120 COL/PL</t>
        </r>
        <r>
          <rPr>
            <sz val="9"/>
            <color indexed="81"/>
            <rFont val="Tahoma"/>
            <family val="2"/>
          </rPr>
          <t xml:space="preserve">
</t>
        </r>
      </text>
    </comment>
    <comment ref="E30" authorId="0">
      <text>
        <r>
          <rPr>
            <b/>
            <sz val="9"/>
            <color indexed="81"/>
            <rFont val="Tahoma"/>
            <family val="2"/>
          </rPr>
          <t>mag:</t>
        </r>
        <r>
          <rPr>
            <sz val="9"/>
            <color indexed="81"/>
            <rFont val="Tahoma"/>
            <family val="2"/>
          </rPr>
          <t xml:space="preserve">
HECHURA DE PLANTA: 18 A 20 COL/PL</t>
        </r>
      </text>
    </comment>
    <comment ref="C34" authorId="1">
      <text>
        <r>
          <rPr>
            <b/>
            <sz val="8"/>
            <color indexed="81"/>
            <rFont val="Tahoma"/>
            <family val="2"/>
          </rPr>
          <t>user:
4,920 col  los 50 gs</t>
        </r>
      </text>
    </comment>
    <comment ref="E36" authorId="0">
      <text>
        <r>
          <rPr>
            <b/>
            <sz val="9"/>
            <color indexed="81"/>
            <rFont val="Tahoma"/>
            <family val="2"/>
          </rPr>
          <t>mag:</t>
        </r>
        <r>
          <rPr>
            <sz val="9"/>
            <color indexed="81"/>
            <rFont val="Tahoma"/>
            <family val="2"/>
          </rPr>
          <t xml:space="preserve">
DE 7 A 15 COL/PL</t>
        </r>
      </text>
    </comment>
    <comment ref="K39" authorId="1">
      <text>
        <r>
          <rPr>
            <b/>
            <sz val="8"/>
            <color indexed="81"/>
            <rFont val="Tahoma"/>
            <family val="2"/>
          </rPr>
          <t>user:</t>
        </r>
        <r>
          <rPr>
            <sz val="8"/>
            <color indexed="81"/>
            <rFont val="Tahoma"/>
            <family val="2"/>
          </rPr>
          <t xml:space="preserve">
ESTO ES EN CERTVANTES, EN PACAYAS CUESTA 25,818</t>
        </r>
      </text>
    </comment>
    <comment ref="F128" authorId="0">
      <text>
        <r>
          <rPr>
            <b/>
            <sz val="9"/>
            <color indexed="81"/>
            <rFont val="Tahoma"/>
            <family val="2"/>
          </rPr>
          <t>mag:</t>
        </r>
        <r>
          <rPr>
            <sz val="9"/>
            <color indexed="81"/>
            <rFont val="Tahoma"/>
            <family val="2"/>
          </rPr>
          <t xml:space="preserve">
aquí voy</t>
        </r>
      </text>
    </comment>
    <comment ref="A189" authorId="0">
      <text>
        <r>
          <rPr>
            <b/>
            <sz val="9"/>
            <color indexed="81"/>
            <rFont val="Tahoma"/>
            <family val="2"/>
          </rPr>
          <t>mag:</t>
        </r>
        <r>
          <rPr>
            <sz val="9"/>
            <color indexed="81"/>
            <rFont val="Tahoma"/>
            <family val="2"/>
          </rPr>
          <t xml:space="preserve">
lo vende Inta sanatorio</t>
        </r>
      </text>
    </comment>
    <comment ref="D232" authorId="0">
      <text>
        <r>
          <rPr>
            <b/>
            <sz val="9"/>
            <color indexed="81"/>
            <rFont val="Tahoma"/>
            <family val="2"/>
          </rPr>
          <t>mag:</t>
        </r>
        <r>
          <rPr>
            <sz val="9"/>
            <color indexed="81"/>
            <rFont val="Tahoma"/>
            <family val="2"/>
          </rPr>
          <t xml:space="preserve">
revisar avio </t>
        </r>
      </text>
    </comment>
  </commentList>
</comments>
</file>

<file path=xl/comments3.xml><?xml version="1.0" encoding="utf-8"?>
<comments xmlns="http://schemas.openxmlformats.org/spreadsheetml/2006/main">
  <authors>
    <author>user</author>
  </authors>
  <commentList>
    <comment ref="C68" authorId="0">
      <text>
        <r>
          <rPr>
            <b/>
            <sz val="8"/>
            <color indexed="81"/>
            <rFont val="Tahoma"/>
            <family val="2"/>
          </rPr>
          <t>19 CARGAS/MZ</t>
        </r>
        <r>
          <rPr>
            <sz val="8"/>
            <color indexed="81"/>
            <rFont val="Tahoma"/>
            <family val="2"/>
          </rPr>
          <t xml:space="preserve">
</t>
        </r>
      </text>
    </comment>
    <comment ref="E68" authorId="0">
      <text>
        <r>
          <rPr>
            <b/>
            <sz val="8"/>
            <color indexed="81"/>
            <rFont val="Tahoma"/>
            <family val="2"/>
          </rPr>
          <t>user:</t>
        </r>
        <r>
          <rPr>
            <sz val="8"/>
            <color indexed="81"/>
            <rFont val="Tahoma"/>
            <family val="2"/>
          </rPr>
          <t xml:space="preserve">
18 CARGAS/MZ</t>
        </r>
      </text>
    </comment>
  </commentList>
</comments>
</file>

<file path=xl/comments4.xml><?xml version="1.0" encoding="utf-8"?>
<comments xmlns="http://schemas.openxmlformats.org/spreadsheetml/2006/main">
  <authors>
    <author>WINDOWS98</author>
  </authors>
  <commentList>
    <comment ref="C31" authorId="0">
      <text>
        <r>
          <rPr>
            <b/>
            <sz val="8"/>
            <color indexed="81"/>
            <rFont val="Tahoma"/>
            <family val="2"/>
          </rPr>
          <t>SE ASUME PERDIDA 10% GERMINACION</t>
        </r>
      </text>
    </comment>
    <comment ref="A40" authorId="0">
      <text>
        <r>
          <rPr>
            <b/>
            <sz val="8"/>
            <color indexed="81"/>
            <rFont val="Tahoma"/>
            <family val="2"/>
          </rPr>
          <t>faltan bactericidas</t>
        </r>
        <r>
          <rPr>
            <sz val="8"/>
            <color indexed="81"/>
            <rFont val="Tahoma"/>
            <family val="2"/>
          </rPr>
          <t xml:space="preserve">
</t>
        </r>
      </text>
    </comment>
    <comment ref="A57" authorId="0">
      <text>
        <r>
          <rPr>
            <b/>
            <sz val="8"/>
            <color indexed="81"/>
            <rFont val="Tahoma"/>
            <family val="2"/>
          </rPr>
          <t>revisar rendimientos, llamar a Sonia.</t>
        </r>
        <r>
          <rPr>
            <sz val="8"/>
            <color indexed="81"/>
            <rFont val="Tahoma"/>
            <family val="2"/>
          </rPr>
          <t xml:space="preserve">
</t>
        </r>
      </text>
    </comment>
  </commentList>
</comments>
</file>

<file path=xl/comments5.xml><?xml version="1.0" encoding="utf-8"?>
<comments xmlns="http://schemas.openxmlformats.org/spreadsheetml/2006/main">
  <authors>
    <author>ROLANDO TENCIO</author>
  </authors>
  <commentList>
    <comment ref="D49" authorId="0">
      <text>
        <r>
          <rPr>
            <b/>
            <sz val="8"/>
            <color indexed="81"/>
            <rFont val="Tahoma"/>
            <family val="2"/>
          </rPr>
          <t>peso en gramos/unid</t>
        </r>
        <r>
          <rPr>
            <sz val="8"/>
            <color indexed="81"/>
            <rFont val="Tahoma"/>
            <family val="2"/>
          </rPr>
          <t xml:space="preserve">
</t>
        </r>
      </text>
    </comment>
  </commentList>
</comments>
</file>

<file path=xl/comments6.xml><?xml version="1.0" encoding="utf-8"?>
<comments xmlns="http://schemas.openxmlformats.org/spreadsheetml/2006/main">
  <authors>
    <author>user</author>
  </authors>
  <commentList>
    <comment ref="B45" authorId="0">
      <text>
        <r>
          <rPr>
            <b/>
            <sz val="8"/>
            <color indexed="81"/>
            <rFont val="Tahoma"/>
            <family val="2"/>
          </rPr>
          <t>contar las plantas que tiene un rollo.</t>
        </r>
      </text>
    </comment>
  </commentList>
</comments>
</file>

<file path=xl/comments7.xml><?xml version="1.0" encoding="utf-8"?>
<comments xmlns="http://schemas.openxmlformats.org/spreadsheetml/2006/main">
  <authors>
    <author>mag</author>
  </authors>
  <commentList>
    <comment ref="B48" authorId="0">
      <text>
        <r>
          <rPr>
            <b/>
            <sz val="9"/>
            <color indexed="81"/>
            <rFont val="Tahoma"/>
            <family val="2"/>
          </rPr>
          <t>200gs/unidad</t>
        </r>
        <r>
          <rPr>
            <sz val="9"/>
            <color indexed="81"/>
            <rFont val="Tahoma"/>
            <family val="2"/>
          </rPr>
          <t xml:space="preserve">
</t>
        </r>
      </text>
    </comment>
  </commentList>
</comments>
</file>

<file path=xl/sharedStrings.xml><?xml version="1.0" encoding="utf-8"?>
<sst xmlns="http://schemas.openxmlformats.org/spreadsheetml/2006/main" count="3069" uniqueCount="1313">
  <si>
    <t>AVIO DE CEBOLLA</t>
  </si>
  <si>
    <t xml:space="preserve"> un dolar    =</t>
  </si>
  <si>
    <t>Colones</t>
  </si>
  <si>
    <t>LUGAR : ZONA NORTE DE CARTAGO,CR.</t>
  </si>
  <si>
    <t>(HH)</t>
  </si>
  <si>
    <t>1 hora homb=</t>
  </si>
  <si>
    <t xml:space="preserve">COSTO DE PRODUCCION POR HECTAREA.            </t>
  </si>
  <si>
    <t xml:space="preserve"> 1 JL 8 hs =</t>
  </si>
  <si>
    <t>colones</t>
  </si>
  <si>
    <t xml:space="preserve"> </t>
  </si>
  <si>
    <t>RUBRO</t>
  </si>
  <si>
    <t>UNIDAD</t>
  </si>
  <si>
    <t>CANTIDAD</t>
  </si>
  <si>
    <t>COSTO</t>
  </si>
  <si>
    <t>PORCENT</t>
  </si>
  <si>
    <t>UNITARIO</t>
  </si>
  <si>
    <t>TOTAL</t>
  </si>
  <si>
    <t>%</t>
  </si>
  <si>
    <t>COLONES</t>
  </si>
  <si>
    <t>DOLARES</t>
  </si>
  <si>
    <t>1. ALMACIGO</t>
  </si>
  <si>
    <t xml:space="preserve">1.1 LABORES </t>
  </si>
  <si>
    <t>limpieza de terreno</t>
  </si>
  <si>
    <t>HH</t>
  </si>
  <si>
    <t>hechura de eras</t>
  </si>
  <si>
    <t>desinfeccion de eras</t>
  </si>
  <si>
    <t>siembra</t>
  </si>
  <si>
    <t>riego</t>
  </si>
  <si>
    <t>aflojar terreno</t>
  </si>
  <si>
    <t>primera deshierba y fertiliz.</t>
  </si>
  <si>
    <t>control plagas y enfermed.</t>
  </si>
  <si>
    <t>segunda deshierba</t>
  </si>
  <si>
    <t>subtotal</t>
  </si>
  <si>
    <t>SUBTOTAL 1.1</t>
  </si>
  <si>
    <t>1.2 MATERIALES</t>
  </si>
  <si>
    <t>fungicida al suelo (risolex)</t>
  </si>
  <si>
    <t>KG</t>
  </si>
  <si>
    <t>insecticida</t>
  </si>
  <si>
    <t>LT</t>
  </si>
  <si>
    <t>fungicida</t>
  </si>
  <si>
    <t>fertilizante foliar</t>
  </si>
  <si>
    <t>adherente</t>
  </si>
  <si>
    <t>SUBTOTAL 1.2</t>
  </si>
  <si>
    <t>2. CULTIVO (10.000 m2)</t>
  </si>
  <si>
    <t>2.1 LABORES MECANICAS</t>
  </si>
  <si>
    <t>arada</t>
  </si>
  <si>
    <t>HMAQ.</t>
  </si>
  <si>
    <t>rotada</t>
  </si>
  <si>
    <t>HANIM.</t>
  </si>
  <si>
    <t>TOTAL 2.1</t>
  </si>
  <si>
    <t>2.2 LABORES MANUALES</t>
  </si>
  <si>
    <t>nivelacion de eras</t>
  </si>
  <si>
    <t>aplicacion insect.y nematic.</t>
  </si>
  <si>
    <t>transplante</t>
  </si>
  <si>
    <t>primera fertiliz.</t>
  </si>
  <si>
    <t>aplicacion herbicida</t>
  </si>
  <si>
    <t>primera deshierba y 2a fertiliz.</t>
  </si>
  <si>
    <t>control de plagas y enfermed.</t>
  </si>
  <si>
    <t>cosecha y secado</t>
  </si>
  <si>
    <t>SUBTOTAL 2.2</t>
  </si>
  <si>
    <t>2.3 MATERIALES</t>
  </si>
  <si>
    <t>lorsban granulado (insect-nemat)</t>
  </si>
  <si>
    <t>Fungicidas : antracol</t>
  </si>
  <si>
    <t>daconil</t>
  </si>
  <si>
    <t>foliares : kresco</t>
  </si>
  <si>
    <t>boro organico</t>
  </si>
  <si>
    <t>OTROS :</t>
  </si>
  <si>
    <t>transporte insumos</t>
  </si>
  <si>
    <t>combustible bomba fumigar</t>
  </si>
  <si>
    <t>subtotal otros</t>
  </si>
  <si>
    <t>TOTAL COSTO</t>
  </si>
  <si>
    <t>INDICADORES DE RENTABILIDAD</t>
  </si>
  <si>
    <t>RENDIMIENTO/HA</t>
  </si>
  <si>
    <t>kilos</t>
  </si>
  <si>
    <t>col/kg</t>
  </si>
  <si>
    <t>INGRESO BRUTO/HA</t>
  </si>
  <si>
    <t>COSTO/HA</t>
  </si>
  <si>
    <t>BENEFICIO NETO/HA</t>
  </si>
  <si>
    <t>RELAC. BENEF/COSTO</t>
  </si>
  <si>
    <t>relación</t>
  </si>
  <si>
    <t xml:space="preserve"> % USO AGROQUIMICO/COSTO</t>
  </si>
  <si>
    <t>TOTAL 1/</t>
  </si>
  <si>
    <t xml:space="preserve">    %</t>
  </si>
  <si>
    <t>15 KG</t>
  </si>
  <si>
    <t>herbicidas : afalon (afacop)</t>
  </si>
  <si>
    <t>fusilade</t>
  </si>
  <si>
    <t>COSTO/KG</t>
  </si>
  <si>
    <t>manzate</t>
  </si>
  <si>
    <t>kadostim</t>
  </si>
  <si>
    <t>plastico para secado 1/</t>
  </si>
  <si>
    <t>Rendimiento  estimado :</t>
  </si>
  <si>
    <t>kilos/ha</t>
  </si>
  <si>
    <t>PRECIOS DE INSUMOS , MAQUINARIA, MANO DEOBRA.</t>
  </si>
  <si>
    <t>FECHA :</t>
  </si>
  <si>
    <t>Un dólar :</t>
  </si>
  <si>
    <t>RUBROS</t>
  </si>
  <si>
    <t xml:space="preserve">PRECIO </t>
  </si>
  <si>
    <t>Hs Tractor</t>
  </si>
  <si>
    <t>Labores corrientes</t>
  </si>
  <si>
    <t>Jornal 8 hs</t>
  </si>
  <si>
    <t>HS</t>
  </si>
  <si>
    <t>Labores mas pesadas</t>
  </si>
  <si>
    <t>Jornal 6 hs</t>
  </si>
  <si>
    <t xml:space="preserve">FERTILIZANTES </t>
  </si>
  <si>
    <t>45 kg</t>
  </si>
  <si>
    <t>kg</t>
  </si>
  <si>
    <t>20 lt</t>
  </si>
  <si>
    <t>lt</t>
  </si>
  <si>
    <t>Nitrato de magnesio</t>
  </si>
  <si>
    <t>Nitraboro</t>
  </si>
  <si>
    <t>Super café 17-3-12-6..</t>
  </si>
  <si>
    <t>FERTILIZANTES FOLIARES</t>
  </si>
  <si>
    <t>MULTIMINERALES</t>
  </si>
  <si>
    <t>METALOSATO  ZINC</t>
  </si>
  <si>
    <t>AMINOAC.BIOFIX</t>
  </si>
  <si>
    <t>FUNGICIDAS</t>
  </si>
  <si>
    <t>ANTRACOL</t>
  </si>
  <si>
    <t>DACONIL</t>
  </si>
  <si>
    <t>KOCIDE 101</t>
  </si>
  <si>
    <t>M-80</t>
  </si>
  <si>
    <t>RONILAN</t>
  </si>
  <si>
    <t>INSECTICIDAS</t>
  </si>
  <si>
    <t>DECIS</t>
  </si>
  <si>
    <t>DIPEL (BACILLUS T.)</t>
  </si>
  <si>
    <t>EVISECT</t>
  </si>
  <si>
    <t>FEROMONA PLUTELLA</t>
  </si>
  <si>
    <t>UNID</t>
  </si>
  <si>
    <t>PADAN</t>
  </si>
  <si>
    <t>HERBICIDAS</t>
  </si>
  <si>
    <t>Fusilade</t>
  </si>
  <si>
    <t>PEGAS Y ADHERENTES</t>
  </si>
  <si>
    <t>jornal 8 hs</t>
  </si>
  <si>
    <t>un dolar</t>
  </si>
  <si>
    <t xml:space="preserve">COSTO DE PRODUCCION POR HECTAREA.             </t>
  </si>
  <si>
    <t>A.LABORES CONTRATADAS</t>
  </si>
  <si>
    <t>PREPARAC.TERRENO :</t>
  </si>
  <si>
    <t>ARADA</t>
  </si>
  <si>
    <t>ROTADA</t>
  </si>
  <si>
    <t>COSECHA</t>
  </si>
  <si>
    <t>TM</t>
  </si>
  <si>
    <t>SUBTOTAL A</t>
  </si>
  <si>
    <t>B.LABORES ORDINARIAS</t>
  </si>
  <si>
    <t>QUEMA</t>
  </si>
  <si>
    <t>JLS</t>
  </si>
  <si>
    <t>DESINFECCION SEMILLA</t>
  </si>
  <si>
    <t>CLASIFICACION SEMILLA</t>
  </si>
  <si>
    <t>RIEGA SEMILLA</t>
  </si>
  <si>
    <t>TAPADA CON AZADA</t>
  </si>
  <si>
    <t>FERTILIZACION</t>
  </si>
  <si>
    <t>APORCA</t>
  </si>
  <si>
    <t>ATOMIZACION</t>
  </si>
  <si>
    <t>ACARREO INTERNO</t>
  </si>
  <si>
    <t>SUBTOTAL</t>
  </si>
  <si>
    <t>SUBTOTAL B</t>
  </si>
  <si>
    <t>C.MATERIALES</t>
  </si>
  <si>
    <t>FETRILON COMBI 1</t>
  </si>
  <si>
    <t>SUBTOTAL C</t>
  </si>
  <si>
    <t>Z. alta:</t>
  </si>
  <si>
    <t>kg/ha</t>
  </si>
  <si>
    <t>por kg</t>
  </si>
  <si>
    <t xml:space="preserve">Z. media: </t>
  </si>
  <si>
    <t xml:space="preserve">Z. baja: </t>
  </si>
  <si>
    <t>AVIO DE REPOLLO VERDE</t>
  </si>
  <si>
    <t>LUGAR : ZONA NORTE CARTAGO.</t>
  </si>
  <si>
    <t>Un dolar :</t>
  </si>
  <si>
    <t>H.hombre:</t>
  </si>
  <si>
    <t>HS MAQ.</t>
  </si>
  <si>
    <t>B.1 LABORES ORDINARIAS</t>
  </si>
  <si>
    <t>hhomb.</t>
  </si>
  <si>
    <t>RIEGO</t>
  </si>
  <si>
    <t>CONTROL PLAGAS Y ENF.</t>
  </si>
  <si>
    <t>SUBTOTAL B.1</t>
  </si>
  <si>
    <t>VITAVAX</t>
  </si>
  <si>
    <t>ABONO 12-24-12</t>
  </si>
  <si>
    <t>SUBTOTAL B.2.</t>
  </si>
  <si>
    <t>ALOMILLADO</t>
  </si>
  <si>
    <t>APLICAC. HERBICIDA</t>
  </si>
  <si>
    <t>DESHIERBA Y APORCA</t>
  </si>
  <si>
    <t>FLETES</t>
  </si>
  <si>
    <t>RENDIMIENTO ESTIMADO PACAYAS :</t>
  </si>
  <si>
    <t>INDICADORES DE  RENTABILIDAD CULTIVO DE REPOLLO</t>
  </si>
  <si>
    <t>INDICADOR</t>
  </si>
  <si>
    <t>KG/HA</t>
  </si>
  <si>
    <t>COSTO/kg</t>
  </si>
  <si>
    <t>USO MANO DE OBRA</t>
  </si>
  <si>
    <t>JORNALES</t>
  </si>
  <si>
    <t xml:space="preserve">Actualizado en la fecha: </t>
  </si>
  <si>
    <t>Actualizado en la fecha   :</t>
  </si>
  <si>
    <t>Actualizado en la fecha :</t>
  </si>
  <si>
    <t>AVIO DE ZANAHORIA HIBRIDA</t>
  </si>
  <si>
    <t>COSTO DE PRODUCCION POR HECTAREA.</t>
  </si>
  <si>
    <t>JORNAL:</t>
  </si>
  <si>
    <t>LUGAR : ZONA NORTE DE CARTAGO.</t>
  </si>
  <si>
    <t>DOLAR :</t>
  </si>
  <si>
    <t>PRECIO</t>
  </si>
  <si>
    <t xml:space="preserve"> PORCENT.</t>
  </si>
  <si>
    <t xml:space="preserve"> VALOR</t>
  </si>
  <si>
    <t>UNID.</t>
  </si>
  <si>
    <t>CANTID.</t>
  </si>
  <si>
    <t xml:space="preserve"> DOLARES</t>
  </si>
  <si>
    <t>(colones)</t>
  </si>
  <si>
    <t>$</t>
  </si>
  <si>
    <t>PREPARACION TERRENO</t>
  </si>
  <si>
    <t>RASTRA</t>
  </si>
  <si>
    <t>HORAS</t>
  </si>
  <si>
    <t>HECHURA ERAS</t>
  </si>
  <si>
    <t>H.ANIM.</t>
  </si>
  <si>
    <t>B.  LABORES</t>
  </si>
  <si>
    <t>PREPARAC.ERAS</t>
  </si>
  <si>
    <t>DESHIERBA MANUAL</t>
  </si>
  <si>
    <t>CONTROL INSEC. Y ENF.</t>
  </si>
  <si>
    <t xml:space="preserve">COSECHA </t>
  </si>
  <si>
    <t>C.   MATERIALES</t>
  </si>
  <si>
    <t>KADOSTIN</t>
  </si>
  <si>
    <t>VYDATE</t>
  </si>
  <si>
    <t>TRANSPORTE INSUMOS</t>
  </si>
  <si>
    <t>COMBUSTIBLE FUMIGAC.</t>
  </si>
  <si>
    <t>TOTAL GENERAL</t>
  </si>
  <si>
    <t>Rendimiento estimado :</t>
  </si>
  <si>
    <t>TOMATE : COSTOS DE PRODUCCION POR HECTAREA</t>
  </si>
  <si>
    <t>LUGAR SIEMBRA :  Cartago , Guarco, Paraíso, Cervantes.</t>
  </si>
  <si>
    <t>hora hombre. =</t>
  </si>
  <si>
    <t>un dolar =</t>
  </si>
  <si>
    <t>costo</t>
  </si>
  <si>
    <t>porcent.</t>
  </si>
  <si>
    <t>unidad</t>
  </si>
  <si>
    <t>cantid.</t>
  </si>
  <si>
    <t>unitario</t>
  </si>
  <si>
    <t>total</t>
  </si>
  <si>
    <t>dolares</t>
  </si>
  <si>
    <t>(col)</t>
  </si>
  <si>
    <t xml:space="preserve">  {$}</t>
  </si>
  <si>
    <t>RASTRA (2 veces)</t>
  </si>
  <si>
    <t>H.MAQ.</t>
  </si>
  <si>
    <t xml:space="preserve"> DESPUES DE TRANSPLANTE</t>
  </si>
  <si>
    <t>TRANSPLANTE</t>
  </si>
  <si>
    <t>PRIMERA  FERTILIZAC.</t>
  </si>
  <si>
    <t>ATOMIZAC.</t>
  </si>
  <si>
    <t>DESHIERBA QUIM.</t>
  </si>
  <si>
    <t>FERTILIZAC.y APORCA</t>
  </si>
  <si>
    <t>DESHIERBA CON PALAS</t>
  </si>
  <si>
    <t>BARBACOA (Tutores y alambre)</t>
  </si>
  <si>
    <t>AMARRADA</t>
  </si>
  <si>
    <t>DESHIJA</t>
  </si>
  <si>
    <t>CLASIFIC.Y EMPAQUE</t>
  </si>
  <si>
    <t xml:space="preserve">RIEGO </t>
  </si>
  <si>
    <t xml:space="preserve">SUBTOTAL </t>
  </si>
  <si>
    <t>TOTAL B.</t>
  </si>
  <si>
    <t>C.  MATERIALES D/TRANSPL.</t>
  </si>
  <si>
    <t>TRANSPORTE DE PLANTAS</t>
  </si>
  <si>
    <t>FERTILIZANTES :  10-30-10</t>
  </si>
  <si>
    <t>FERT.18-5-15-6-2</t>
  </si>
  <si>
    <t>NITRATO AMONIO (NUTRAN)</t>
  </si>
  <si>
    <t>FUNGICIDAS : RIDOMIL</t>
  </si>
  <si>
    <t>TRIMILTOX</t>
  </si>
  <si>
    <t>INSECTICIDAS : DECIS</t>
  </si>
  <si>
    <t>VERTIMEC</t>
  </si>
  <si>
    <t>FOLIARES :   FOSNUTREN</t>
  </si>
  <si>
    <t>HERBICIDAS : SENCOR</t>
  </si>
  <si>
    <t>FUSILADE</t>
  </si>
  <si>
    <t>VARILLA</t>
  </si>
  <si>
    <t>ALAMBRE LISO (10 CICLOS)</t>
  </si>
  <si>
    <t>SUBTOTAL OTROS</t>
  </si>
  <si>
    <t xml:space="preserve">RENDIMIENTO ESTIMADO : </t>
  </si>
  <si>
    <t>cajas/ha</t>
  </si>
  <si>
    <t>col/caja</t>
  </si>
  <si>
    <t>( 75%de 1a y 25%  de 2a  calidad).</t>
  </si>
  <si>
    <t xml:space="preserve">Densidad siembra:  </t>
  </si>
  <si>
    <t>pl/ha</t>
  </si>
  <si>
    <t>plantas</t>
  </si>
  <si>
    <t>TRIMILTOX FORTE</t>
  </si>
  <si>
    <t>Unidad</t>
  </si>
  <si>
    <t>PLANTVAX 75%</t>
  </si>
  <si>
    <t>KOSGRO</t>
  </si>
  <si>
    <t>NUTRIVERDE</t>
  </si>
  <si>
    <t>ZETARAN</t>
  </si>
  <si>
    <t>AGRIMICIN 100</t>
  </si>
  <si>
    <t>ATEMI</t>
  </si>
  <si>
    <t>EVIGRAS</t>
  </si>
  <si>
    <t>GOAL</t>
  </si>
  <si>
    <t>GAL</t>
  </si>
  <si>
    <t>RADEX</t>
  </si>
  <si>
    <t>COUNTER</t>
  </si>
  <si>
    <t>15KG</t>
  </si>
  <si>
    <t>LECHUGA CRIOLLA : COSTO DE PRODUCCION POR HECTAREA.</t>
  </si>
  <si>
    <t>UBICACIÓN FINCA : TEJAR DEL GUARCO,CARTAGO.</t>
  </si>
  <si>
    <t>1 Dólar :</t>
  </si>
  <si>
    <t>DESINFECCION DE SUELO</t>
  </si>
  <si>
    <t>SIEMBRA</t>
  </si>
  <si>
    <t>FERT.SIEMBRA 12-24-12</t>
  </si>
  <si>
    <t>FUNGICIDAS : ANTRACOL</t>
  </si>
  <si>
    <t>SUBTOTAL B.2</t>
  </si>
  <si>
    <t>C.1 LABORES</t>
  </si>
  <si>
    <t>APLICAC.INSECT-NEMAT.</t>
  </si>
  <si>
    <t>MOCAP</t>
  </si>
  <si>
    <t>FOLIARES : FOSNUTREN</t>
  </si>
  <si>
    <t>NITROFOSKA</t>
  </si>
  <si>
    <t>KRESKO</t>
  </si>
  <si>
    <t>TRANSPORTE DE INSUMOS</t>
  </si>
  <si>
    <t>ELECTRICIDAD RIEGO</t>
  </si>
  <si>
    <t>TOTAL EN COLONES</t>
  </si>
  <si>
    <t>TOTAL  EN DOLARES</t>
  </si>
  <si>
    <t>RENDIMIENTO ESTIMADO  :</t>
  </si>
  <si>
    <t>col/unid.</t>
  </si>
  <si>
    <t xml:space="preserve">         DEL GUARCO, CARTAGO.</t>
  </si>
  <si>
    <t>BROCOLI : COSTO DE PRODUCCION POR HECTAREA.</t>
  </si>
  <si>
    <t>LUGAR : Pacayas de Alvarado,Cartago.</t>
  </si>
  <si>
    <t xml:space="preserve">HH :   </t>
  </si>
  <si>
    <t>col</t>
  </si>
  <si>
    <t>Un dólar  :</t>
  </si>
  <si>
    <t>UNIT.</t>
  </si>
  <si>
    <t xml:space="preserve"> (colones)</t>
  </si>
  <si>
    <t>H ANIM.</t>
  </si>
  <si>
    <t>CONTROL MALEZAS</t>
  </si>
  <si>
    <t>SUBTOTAL B.</t>
  </si>
  <si>
    <t>HOYADA Y TRANSPLANTE</t>
  </si>
  <si>
    <t>FERTILIZAC.</t>
  </si>
  <si>
    <t>ATOMIZAR</t>
  </si>
  <si>
    <t>HUMIFORTE</t>
  </si>
  <si>
    <t>SUBTOTAL C.2</t>
  </si>
  <si>
    <t>COMBUSTIBLE BOMBA FUMIGAR</t>
  </si>
  <si>
    <t>COSTO TOTAL (en colones)</t>
  </si>
  <si>
    <t>COSTO TOTAL (en dólares)</t>
  </si>
  <si>
    <t xml:space="preserve">RENDIMIENTO  ESTIMADO      : </t>
  </si>
  <si>
    <t>Kg/ha</t>
  </si>
  <si>
    <t>Col/kg</t>
  </si>
  <si>
    <t>Densidad siembra  : 28.571 plantas /ha.</t>
  </si>
  <si>
    <t>perdida en plantas (16%): 4.571 plantas.</t>
  </si>
  <si>
    <t xml:space="preserve">Plantas utiles : 24.000 pl* 0.75kg/brocoli = 18.000 kg. </t>
  </si>
  <si>
    <t>KADOSTIM</t>
  </si>
  <si>
    <t>CHILE DULCE : COSTOS DE PRODUCCION POR HECTAREA</t>
  </si>
  <si>
    <t>LUGAR SIEMBRA : CARTAGO.</t>
  </si>
  <si>
    <t>APLIC.INSECT.-NEMAT.</t>
  </si>
  <si>
    <t>FERTILIZAC.(espeque,6vec)</t>
  </si>
  <si>
    <t>DESHIERBA QUIM.(3 veces)</t>
  </si>
  <si>
    <t>BARBACOA (3 hilos)**</t>
  </si>
  <si>
    <t>APLIC.NEMATIC.</t>
  </si>
  <si>
    <t>RIEGO (13 ciclos)</t>
  </si>
  <si>
    <t>NITRATO AMONIO</t>
  </si>
  <si>
    <t>THIMET (INSECT-NEM)</t>
  </si>
  <si>
    <t>MANZATE GD</t>
  </si>
  <si>
    <t>FOLIARES: 3-18-18</t>
  </si>
  <si>
    <t xml:space="preserve"> 6-13-0 (estimul.florac)</t>
  </si>
  <si>
    <t>Rendimiento esperado :</t>
  </si>
  <si>
    <t>Precio equilibrio :</t>
  </si>
  <si>
    <t>FERT.SIEMBRA 10-30-10</t>
  </si>
  <si>
    <t>HERBIC. FUSILADE</t>
  </si>
  <si>
    <t>FERT 6-13-0</t>
  </si>
  <si>
    <t>HERBICIDA : SENCOR</t>
  </si>
  <si>
    <t>unid/pl</t>
  </si>
  <si>
    <t>unid</t>
  </si>
  <si>
    <t>uni/java</t>
  </si>
  <si>
    <t>1a calidad</t>
  </si>
  <si>
    <t>2a cal</t>
  </si>
  <si>
    <t>3a cal</t>
  </si>
  <si>
    <t>unid/java</t>
  </si>
  <si>
    <t>No javas</t>
  </si>
  <si>
    <t>plantas/ha</t>
  </si>
  <si>
    <t>Costo/kg promedio</t>
  </si>
  <si>
    <t>COLIFLOR : COSTO DE PRODUCCION POR HECTAREA.</t>
  </si>
  <si>
    <t>Unidades/ha</t>
  </si>
  <si>
    <t>Col/unidad</t>
  </si>
  <si>
    <t xml:space="preserve">Densidad siembra  : </t>
  </si>
  <si>
    <t>perdida en plantas :</t>
  </si>
  <si>
    <t xml:space="preserve">Plantas utiles : </t>
  </si>
  <si>
    <t>AVIO DE REMOLACHA  (COSTO POR HA)</t>
  </si>
  <si>
    <t>JORNAL 8hs</t>
  </si>
  <si>
    <t>Un dolar =</t>
  </si>
  <si>
    <t>ZURCADA</t>
  </si>
  <si>
    <t>APLICACION HERBIC.</t>
  </si>
  <si>
    <t>FERTILIZACION Y APORCA</t>
  </si>
  <si>
    <t>TRIMILTOX-FORTE</t>
  </si>
  <si>
    <t>Fletes insumos</t>
  </si>
  <si>
    <t xml:space="preserve">Rendimiento estimado:  </t>
  </si>
  <si>
    <t>unid./ha</t>
  </si>
  <si>
    <t>col/unidad</t>
  </si>
  <si>
    <t>Actualizado en :</t>
  </si>
  <si>
    <t xml:space="preserve">ABONO 12-24-12 </t>
  </si>
  <si>
    <t>AFALON herbicida</t>
  </si>
  <si>
    <t>RALEO</t>
  </si>
  <si>
    <t>VAINICA : COSTO DE PRODUCCION POR HECTAREA.</t>
  </si>
  <si>
    <t xml:space="preserve">hh : </t>
  </si>
  <si>
    <t>1 dólar :</t>
  </si>
  <si>
    <t xml:space="preserve">COSTO </t>
  </si>
  <si>
    <t>HS MAQ</t>
  </si>
  <si>
    <t xml:space="preserve">RASTRA </t>
  </si>
  <si>
    <t xml:space="preserve">SIEMBRA  </t>
  </si>
  <si>
    <t>APLICAC.INSECT-NEMATIC.</t>
  </si>
  <si>
    <t>DESHIERBA QUIMICA (2 vec)</t>
  </si>
  <si>
    <t>TOTAL A.</t>
  </si>
  <si>
    <t xml:space="preserve">C.MATERIALES </t>
  </si>
  <si>
    <t>FERT. FOLIAR : FOSNUTREN</t>
  </si>
  <si>
    <t>INSECTIC.:  LORSBAN</t>
  </si>
  <si>
    <t>FUNGIC.: COBRE ZANDOZ</t>
  </si>
  <si>
    <t>PEGA WK</t>
  </si>
  <si>
    <t xml:space="preserve">COSTO TOTAL (En colones) </t>
  </si>
  <si>
    <t xml:space="preserve">COSTO TOTAL (En dólares) </t>
  </si>
  <si>
    <t>Rendimiento estimado   :</t>
  </si>
  <si>
    <t>AVIO DE CULANTRO</t>
  </si>
  <si>
    <t>LUGAR : TEJAR DEL GUARCO, CARTAGO,CR.</t>
  </si>
  <si>
    <t>Hora hombre:</t>
  </si>
  <si>
    <t xml:space="preserve"> 1 Dólar :</t>
  </si>
  <si>
    <t>HS maq</t>
  </si>
  <si>
    <t>HECHURA DE ERAS (Caballo)</t>
  </si>
  <si>
    <t>HS anim</t>
  </si>
  <si>
    <t xml:space="preserve">SIEMBRA </t>
  </si>
  <si>
    <t xml:space="preserve">EMPAREJADO MANUAL </t>
  </si>
  <si>
    <t>APLICAC. INSECTIC.-NEMATIC.</t>
  </si>
  <si>
    <t>COSECHA Y AMARRADO</t>
  </si>
  <si>
    <t>DESHIERBA QUIMICA</t>
  </si>
  <si>
    <t xml:space="preserve">B.2 MATERIALES </t>
  </si>
  <si>
    <t>SEMILLA OLSEN</t>
  </si>
  <si>
    <t>FERT. NUTRAN</t>
  </si>
  <si>
    <t>INSECT.THIMET</t>
  </si>
  <si>
    <t xml:space="preserve">HERBICIDA AFALON </t>
  </si>
  <si>
    <t>FOLIAR 20-20-20</t>
  </si>
  <si>
    <t>electricidad (bomba riego)</t>
  </si>
  <si>
    <t>Transporte de insumos</t>
  </si>
  <si>
    <t>TOTAL EN DOLARES</t>
  </si>
  <si>
    <t>Rendimiento estimado 1  :</t>
  </si>
  <si>
    <t>rollos/ha</t>
  </si>
  <si>
    <t>col/rollo</t>
  </si>
  <si>
    <t xml:space="preserve">                SEGUN DATOS SUMINISTRADOS POR PRODUCTORES DE TEJAR, CARTAGO,</t>
  </si>
  <si>
    <t>APIO  : COSTO DE PRODUCCION POR HECTAREA.</t>
  </si>
  <si>
    <t>LUGAR SIEMBRA :   CARTAGO.</t>
  </si>
  <si>
    <t>A. LABORES CONTRATADAS</t>
  </si>
  <si>
    <t>B.COSTOS DESP/TRANSPLANTE</t>
  </si>
  <si>
    <t>B.1  LABORES</t>
  </si>
  <si>
    <t>1a FERT.SIEMBRA 10-30-10</t>
  </si>
  <si>
    <t>2a    FERT.15-15-15</t>
  </si>
  <si>
    <t>3a    FERT.camac</t>
  </si>
  <si>
    <t>4a    FERT.15-3-31</t>
  </si>
  <si>
    <t>PLANTAS APIO GOLDEN</t>
  </si>
  <si>
    <t>GASOLINA P/RIEGO</t>
  </si>
  <si>
    <t>Kg/ha.</t>
  </si>
  <si>
    <t>PESO POR PLANTA :</t>
  </si>
  <si>
    <t>kg/planta.</t>
  </si>
  <si>
    <t>Plantas/ha.</t>
  </si>
  <si>
    <t xml:space="preserve">PERDIDA EN PLANTAS : </t>
  </si>
  <si>
    <t>PLANTAS UTILES:</t>
  </si>
  <si>
    <t xml:space="preserve">Nota : EL apio es un cultivo sumamente caro de mantener y muy riesgoso, ya que </t>
  </si>
  <si>
    <t>Zona  :  Cartago.</t>
  </si>
  <si>
    <t>dólar  :</t>
  </si>
  <si>
    <t xml:space="preserve"> 1 jornal=</t>
  </si>
  <si>
    <t xml:space="preserve">DESHIERBA QUIMICA </t>
  </si>
  <si>
    <t>FERT. NUTRIVERDE</t>
  </si>
  <si>
    <t>INSECTIC.:  THIMET</t>
  </si>
  <si>
    <t>GL</t>
  </si>
  <si>
    <t xml:space="preserve">Rendimiento estimado : </t>
  </si>
  <si>
    <t>Unid/ha</t>
  </si>
  <si>
    <t>B. CULTIVO (10.000 m2)</t>
  </si>
  <si>
    <t>B.  LABORES ORDINARIAS</t>
  </si>
  <si>
    <t>C.MATERIALES D/TRANSPL.</t>
  </si>
  <si>
    <t>semillas</t>
  </si>
  <si>
    <t>precio</t>
  </si>
  <si>
    <t>sem/kilo</t>
  </si>
  <si>
    <t>50 kg</t>
  </si>
  <si>
    <t>Humus lombriz</t>
  </si>
  <si>
    <t>40 kg</t>
  </si>
  <si>
    <t>Nitrato de calcio liq</t>
  </si>
  <si>
    <t>Sulfato de magnesio kg</t>
  </si>
  <si>
    <t>25 kg</t>
  </si>
  <si>
    <t>BASAMID</t>
  </si>
  <si>
    <t>Actualizado en.</t>
  </si>
  <si>
    <t>java</t>
  </si>
  <si>
    <t>Alambre liso tomate #12</t>
  </si>
  <si>
    <t>Alambre liso  #16</t>
  </si>
  <si>
    <t>cajones chayote</t>
  </si>
  <si>
    <t>Javas chayote</t>
  </si>
  <si>
    <t>PENNCAP</t>
  </si>
  <si>
    <t>vertimec</t>
  </si>
  <si>
    <t>VERLAQ</t>
  </si>
  <si>
    <t>COL/KG</t>
  </si>
  <si>
    <t>B.MANTENIMIENTO DESPUES DE TRANSPLANTE</t>
  </si>
  <si>
    <t>PLANTAS</t>
  </si>
  <si>
    <t>SUBTOTAL B.1.</t>
  </si>
  <si>
    <t>B.2.MATERIALES.DESPUES DE TRANSPLANTE.</t>
  </si>
  <si>
    <t>Una caja = 9-10 kg.</t>
  </si>
  <si>
    <t>Plantas/ha</t>
  </si>
  <si>
    <t>Plantas de lechuga</t>
  </si>
  <si>
    <t>javas</t>
  </si>
  <si>
    <t>Rendimiento javas</t>
  </si>
  <si>
    <t>col/java</t>
  </si>
  <si>
    <t>DENSIDAD SIEMBRA:</t>
  </si>
  <si>
    <t>repollo</t>
  </si>
  <si>
    <t>col/sem</t>
  </si>
  <si>
    <t>tomate</t>
  </si>
  <si>
    <t>16-16-16 ALBATROS</t>
  </si>
  <si>
    <t>Nutrán (nitrato amonio) 33.5%</t>
  </si>
  <si>
    <t>otros</t>
  </si>
  <si>
    <t>ANTRACOL 70wp</t>
  </si>
  <si>
    <t>CURZATE M 72</t>
  </si>
  <si>
    <t>CYCOSIN 50F</t>
  </si>
  <si>
    <t>MOCAP 15%(nematicida)</t>
  </si>
  <si>
    <t>THIMET 10%(nematicida)</t>
  </si>
  <si>
    <t>200GS</t>
  </si>
  <si>
    <t>NEMACUR 10Gr (nematicida)</t>
  </si>
  <si>
    <t>250CC</t>
  </si>
  <si>
    <t>GAL (3,5LT)</t>
  </si>
  <si>
    <t>tokuthion</t>
  </si>
  <si>
    <t>750g</t>
  </si>
  <si>
    <t>MANZATE GD (mancozeb)</t>
  </si>
  <si>
    <t>MANZATE 48% LIQ (mancozeb)</t>
  </si>
  <si>
    <t>ENMIENDAS:</t>
  </si>
  <si>
    <t>CARBOAZUL (CaCo3)</t>
  </si>
  <si>
    <t>45kg</t>
  </si>
  <si>
    <t>15kg</t>
  </si>
  <si>
    <t>250cc</t>
  </si>
  <si>
    <t>clorpirifos</t>
  </si>
  <si>
    <t>cartap</t>
  </si>
  <si>
    <t>0,5kg</t>
  </si>
  <si>
    <t>fenaphidofos</t>
  </si>
  <si>
    <t>Abamectina</t>
  </si>
  <si>
    <t>SILVACUR 30EC</t>
  </si>
  <si>
    <t>TRIAZOL</t>
  </si>
  <si>
    <t>250 CC</t>
  </si>
  <si>
    <t>Extracto semillas</t>
  </si>
  <si>
    <t>125 CC</t>
  </si>
  <si>
    <t>Sulfato de Cu</t>
  </si>
  <si>
    <t>200g</t>
  </si>
  <si>
    <t>KILOL (insecticida/bactericida)</t>
  </si>
  <si>
    <t>extracto semillas</t>
  </si>
  <si>
    <t>penetrante</t>
  </si>
  <si>
    <t>SURFACID</t>
  </si>
  <si>
    <t>varios</t>
  </si>
  <si>
    <t>coadyubante (aditivo)</t>
  </si>
  <si>
    <t>250 cc</t>
  </si>
  <si>
    <t>con un mal tiempo se puede perder desde el 50% hasta el 90% de la producción, o</t>
  </si>
  <si>
    <t>canastos para papa</t>
  </si>
  <si>
    <t>mecate polietileno 12mm</t>
  </si>
  <si>
    <t>m</t>
  </si>
  <si>
    <t>mecate bananero (piola)</t>
  </si>
  <si>
    <t>hebra tomatera</t>
  </si>
  <si>
    <t>estaca tomate chile</t>
  </si>
  <si>
    <t>remolacha</t>
  </si>
  <si>
    <t>chile dulce</t>
  </si>
  <si>
    <t>cultivo</t>
  </si>
  <si>
    <t>Apio</t>
  </si>
  <si>
    <t>Arverja</t>
  </si>
  <si>
    <t>Berenjena</t>
  </si>
  <si>
    <t>Bócoli</t>
  </si>
  <si>
    <t>Cebolla</t>
  </si>
  <si>
    <t>Coliflor</t>
  </si>
  <si>
    <t>Chile dulce</t>
  </si>
  <si>
    <t>Espinaca</t>
  </si>
  <si>
    <t>Lechuga</t>
  </si>
  <si>
    <t>Mostaza</t>
  </si>
  <si>
    <t>Nabo</t>
  </si>
  <si>
    <t>Pepino</t>
  </si>
  <si>
    <t>Perejil</t>
  </si>
  <si>
    <t>Puerro</t>
  </si>
  <si>
    <t>Rabanito</t>
  </si>
  <si>
    <t>Rábano</t>
  </si>
  <si>
    <t>Remolacha</t>
  </si>
  <si>
    <t>Repollo</t>
  </si>
  <si>
    <t>Tomate</t>
  </si>
  <si>
    <t>Vainica guia</t>
  </si>
  <si>
    <t>Zanahoria</t>
  </si>
  <si>
    <t>Zapallo rastrero</t>
  </si>
  <si>
    <t xml:space="preserve"> 5-10</t>
  </si>
  <si>
    <t>0,25-0,35</t>
  </si>
  <si>
    <t>0,25-0,3</t>
  </si>
  <si>
    <t>0,2-0,4</t>
  </si>
  <si>
    <t>3-3,5</t>
  </si>
  <si>
    <t>1,5-2</t>
  </si>
  <si>
    <t>0,25-0,5</t>
  </si>
  <si>
    <t xml:space="preserve">  5-10</t>
  </si>
  <si>
    <t xml:space="preserve">  8-10</t>
  </si>
  <si>
    <t>0,5-3</t>
  </si>
  <si>
    <t xml:space="preserve">  2-3</t>
  </si>
  <si>
    <t>Culantro</t>
  </si>
  <si>
    <t>Maíz dulce</t>
  </si>
  <si>
    <t>Vainica arbustiva</t>
  </si>
  <si>
    <t>Zapallo arbustivo</t>
  </si>
  <si>
    <t>Ajo</t>
  </si>
  <si>
    <t>Allium sativum</t>
  </si>
  <si>
    <t>Apium sativum</t>
  </si>
  <si>
    <t>Familia</t>
  </si>
  <si>
    <t>Liliaceae</t>
  </si>
  <si>
    <t>Umbelliferae</t>
  </si>
  <si>
    <t>Leguminosae</t>
  </si>
  <si>
    <t>Solanoceae</t>
  </si>
  <si>
    <t>Pisum sativum</t>
  </si>
  <si>
    <t>semillas por gramo</t>
  </si>
  <si>
    <t>semillas por kg</t>
  </si>
  <si>
    <t>kg semilla por ha</t>
  </si>
  <si>
    <t>Nombre científico</t>
  </si>
  <si>
    <t>Fuente: Ing. Rolando Tencio, según datos de las ASAS Región Central Oriental.</t>
  </si>
  <si>
    <t>Brassica oleracea var.italica</t>
  </si>
  <si>
    <t>Cruciferae</t>
  </si>
  <si>
    <t>Allium cepa</t>
  </si>
  <si>
    <t>Brassica oleracea var.botrytis</t>
  </si>
  <si>
    <t>Capsicum annuum</t>
  </si>
  <si>
    <t>Coriandrum sativum</t>
  </si>
  <si>
    <t>Spinacia oleracea</t>
  </si>
  <si>
    <t>Quenopodiaceae</t>
  </si>
  <si>
    <t>Lactuca sativa</t>
  </si>
  <si>
    <t>Compositae</t>
  </si>
  <si>
    <t>Zea mayz var. Rugos</t>
  </si>
  <si>
    <t>Graminae</t>
  </si>
  <si>
    <t>Brassica juncea</t>
  </si>
  <si>
    <t>Brassica campestris</t>
  </si>
  <si>
    <t>Cucumis sativus</t>
  </si>
  <si>
    <t>Cucurbitaceae</t>
  </si>
  <si>
    <t>Petroselinum crispum</t>
  </si>
  <si>
    <t>Alium porrum</t>
  </si>
  <si>
    <t>Raphanus sativus</t>
  </si>
  <si>
    <t>Beta vulgaris</t>
  </si>
  <si>
    <t>Chenopodiaceae</t>
  </si>
  <si>
    <t>Brassica oleracea var.capitata</t>
  </si>
  <si>
    <t>Lycopersicum esculentum</t>
  </si>
  <si>
    <t>Phaseollus vulgaris</t>
  </si>
  <si>
    <t>Daucus carota</t>
  </si>
  <si>
    <t>Curcubita maxima</t>
  </si>
  <si>
    <t>Col de bruselas</t>
  </si>
  <si>
    <t>Brassica oleracea var.gemmifera</t>
  </si>
  <si>
    <t>Berros</t>
  </si>
  <si>
    <t>Ropira nasturtum aquatiocum</t>
  </si>
  <si>
    <t>Arracache</t>
  </si>
  <si>
    <t>Arracacia xanthorriza</t>
  </si>
  <si>
    <t>Espárrago</t>
  </si>
  <si>
    <t>Esparagus officinalis</t>
  </si>
  <si>
    <t>Ñampí</t>
  </si>
  <si>
    <t>Colocacia esculenta</t>
  </si>
  <si>
    <t>Araceae</t>
  </si>
  <si>
    <t>Yuca</t>
  </si>
  <si>
    <t>Manihot esculenta</t>
  </si>
  <si>
    <t>Euphorbiaceae</t>
  </si>
  <si>
    <t>Anexoa 1.  Datos importantes sobre algunas hortalizas.</t>
  </si>
  <si>
    <t>carga/ha</t>
  </si>
  <si>
    <t>tm/ha</t>
  </si>
  <si>
    <t>Nota: variedad excelente para hojuelas por su alto contenido de sólidos.</t>
  </si>
  <si>
    <t>Rendimientos productores de CHN:</t>
  </si>
  <si>
    <t>Fuente : Ing. Rodolfo Amador, gerente CHN.</t>
  </si>
  <si>
    <t>1/ Este plástico se puede usar para varias cosechas.</t>
  </si>
  <si>
    <t>coliflor</t>
  </si>
  <si>
    <t>Preguntar a chico si este incluye semilla</t>
  </si>
  <si>
    <t>COOPEBAIRES,</t>
  </si>
  <si>
    <t>CACAL ALVARADO.</t>
  </si>
  <si>
    <t>PLANTAS GERMINADAS</t>
  </si>
  <si>
    <t>brocoli</t>
  </si>
  <si>
    <t>el surco</t>
  </si>
  <si>
    <t>Costo por Kilogramo</t>
  </si>
  <si>
    <t>Costo/rollo.</t>
  </si>
  <si>
    <t>Costo unitario  :</t>
  </si>
  <si>
    <t>COSTO UNITARIO   :</t>
  </si>
  <si>
    <t>Costo unitario :</t>
  </si>
  <si>
    <t>Costo unitario:</t>
  </si>
  <si>
    <t>COSTO UNITARIO</t>
  </si>
  <si>
    <t>Costo/kg</t>
  </si>
  <si>
    <t>zanahoria</t>
  </si>
  <si>
    <t>COSTO UNITARIO :</t>
  </si>
  <si>
    <t>BACTERICIDAS (KILOL)</t>
  </si>
  <si>
    <t>FUENTE :   Elaborado por Rolando Tencio según información ASAS de la Región C. Oriental.</t>
  </si>
  <si>
    <t>Costo/kg:</t>
  </si>
  <si>
    <t xml:space="preserve">La unidad de  comercialización es la caja plástica (22.80 kg. bruto prom.).  </t>
  </si>
  <si>
    <t xml:space="preserve">En donde el chile de primera contienen de 130 a 170 chiles, el de segunda de 237 a 262 y </t>
  </si>
  <si>
    <t>el de tercera de 318 a 381 chiles/caja</t>
  </si>
  <si>
    <t>Código GIFAP formulaciones</t>
  </si>
  <si>
    <t>Cebo granulado</t>
  </si>
  <si>
    <t>GB</t>
  </si>
  <si>
    <t>Cebo preparado</t>
  </si>
  <si>
    <t>RB</t>
  </si>
  <si>
    <t>Concentración emulsionable</t>
  </si>
  <si>
    <t>EC</t>
  </si>
  <si>
    <t>Concentrado soluble</t>
  </si>
  <si>
    <t>SC</t>
  </si>
  <si>
    <t>Granulado</t>
  </si>
  <si>
    <t>GR</t>
  </si>
  <si>
    <t>Granulado o tabletas solubles</t>
  </si>
  <si>
    <t>WB</t>
  </si>
  <si>
    <t>Polvo mojable</t>
  </si>
  <si>
    <t>WP</t>
  </si>
  <si>
    <t>Polvo soluble</t>
  </si>
  <si>
    <t>SP</t>
  </si>
  <si>
    <t>FORMULACION ESPAÑOLA</t>
  </si>
  <si>
    <t>CODIGO</t>
  </si>
  <si>
    <t xml:space="preserve">Fuente: Guía de Agroquímicos.Publicado por Desarrollo y Registro de Agroquímicos S.A. y </t>
  </si>
  <si>
    <t>Agrocontinental S.A.  1998.</t>
  </si>
  <si>
    <t>nematicida</t>
  </si>
  <si>
    <t>malation</t>
  </si>
  <si>
    <t>permetrina</t>
  </si>
  <si>
    <t>oxifluorfen</t>
  </si>
  <si>
    <t>kasugamicina</t>
  </si>
  <si>
    <t>dithane m-22,agromart 80</t>
  </si>
  <si>
    <t>Sulfato de potasio25 kg std</t>
  </si>
  <si>
    <t>12-30-8-6-22 cafesa siembra</t>
  </si>
  <si>
    <t xml:space="preserve">  26-0-26 CAFESA</t>
  </si>
  <si>
    <t>Super cosecha 15-0-24-3-0,6-37S</t>
  </si>
  <si>
    <t>Super cultivo 15-15-15  1PROFIT</t>
  </si>
  <si>
    <t xml:space="preserve">HUMIFORTE </t>
  </si>
  <si>
    <t>gal</t>
  </si>
  <si>
    <t>lts</t>
  </si>
  <si>
    <t>factores de conversión</t>
  </si>
  <si>
    <t>lbs</t>
  </si>
  <si>
    <t>km</t>
  </si>
  <si>
    <t>millas</t>
  </si>
  <si>
    <t>0.5 kg</t>
  </si>
  <si>
    <t>920gs</t>
  </si>
  <si>
    <t>900gs</t>
  </si>
  <si>
    <t>750gs</t>
  </si>
  <si>
    <t>PREVICUR 66,5% S:A:</t>
  </si>
  <si>
    <t>200gs</t>
  </si>
  <si>
    <t>Estañones plasticos</t>
  </si>
  <si>
    <t>Promedio:</t>
  </si>
  <si>
    <t>OTROS MATERIALES</t>
  </si>
  <si>
    <t>Alambre GALVANIZADO #12</t>
  </si>
  <si>
    <t>Alambre GALVANIZADO #14</t>
  </si>
  <si>
    <t>Grapas 1", 24MM.caiman</t>
  </si>
  <si>
    <t>Grapas 11/4", 31MM.caiman</t>
  </si>
  <si>
    <t>carga papa</t>
  </si>
  <si>
    <t xml:space="preserve">1 tarro: </t>
  </si>
  <si>
    <t>gs</t>
  </si>
  <si>
    <t>CCSS</t>
  </si>
  <si>
    <t>col/ha 2 peon</t>
  </si>
  <si>
    <t>col/mes/peon</t>
  </si>
  <si>
    <t>CCSS (UPANacional)</t>
  </si>
  <si>
    <t>2 peones</t>
  </si>
  <si>
    <t>CCSS (3800/mes)</t>
  </si>
  <si>
    <t>4peones</t>
  </si>
  <si>
    <t>1 peon fijo</t>
  </si>
  <si>
    <t>CCSS (3800/mes/peon)</t>
  </si>
  <si>
    <t>CCSS (4 peones)</t>
  </si>
  <si>
    <t>4 peones fijos</t>
  </si>
  <si>
    <t>4 peon fijos</t>
  </si>
  <si>
    <t>PRODUCCION TOTAL:</t>
  </si>
  <si>
    <t>DENSIDAD : (0,25*0,25m)</t>
  </si>
  <si>
    <t>AREA TOTAL:</t>
  </si>
  <si>
    <t>10000 M2</t>
  </si>
  <si>
    <t>AREA UTIL:</t>
  </si>
  <si>
    <t>7000 M2</t>
  </si>
  <si>
    <t>Se toma en cuenta una area para callejon y drenajes de 3000 m2.</t>
  </si>
  <si>
    <t>Un Kg semilla produce 150 a 250  kg de vainica .</t>
  </si>
  <si>
    <t>SEMILLAS:</t>
  </si>
  <si>
    <t>frijol guaria</t>
  </si>
  <si>
    <t>papa  certificada CHN</t>
  </si>
  <si>
    <t>cebolla regia (invierno)</t>
  </si>
  <si>
    <t>coliflor Incline</t>
  </si>
  <si>
    <t>ayote oro tropical</t>
  </si>
  <si>
    <t>zapallo CUARENTENO</t>
  </si>
  <si>
    <t>apio triumph</t>
  </si>
  <si>
    <t>apio TALL UTAH</t>
  </si>
  <si>
    <t>lechuga elisa</t>
  </si>
  <si>
    <t>chile dulce tropic irazu</t>
  </si>
  <si>
    <t>chile dulce nathalie</t>
  </si>
  <si>
    <t>chayote mexicano</t>
  </si>
  <si>
    <t>frijol chileno</t>
  </si>
  <si>
    <t>Pepino CENTURION</t>
  </si>
  <si>
    <t>estaca tomate chile 3M</t>
  </si>
  <si>
    <t>05KG</t>
  </si>
  <si>
    <t>AMISTAR 50WG</t>
  </si>
  <si>
    <t>100 GS</t>
  </si>
  <si>
    <t>500GS</t>
  </si>
  <si>
    <t>0,5KG</t>
  </si>
  <si>
    <t>200CC</t>
  </si>
  <si>
    <t>25KG</t>
  </si>
  <si>
    <t>PEGA</t>
  </si>
  <si>
    <t>FERT. FOLIAR</t>
  </si>
  <si>
    <t xml:space="preserve">COSMO IN   </t>
  </si>
  <si>
    <t>tomate hibrido</t>
  </si>
  <si>
    <t>ALMACEN DE INSUMOS DE PACAYAS.</t>
  </si>
  <si>
    <t>col/LB</t>
  </si>
  <si>
    <t>DIA animal</t>
  </si>
  <si>
    <t>repollo verde arena</t>
  </si>
  <si>
    <t>DIA 8 hs</t>
  </si>
  <si>
    <t>FERT.15-3-31</t>
  </si>
  <si>
    <t xml:space="preserve">  TRANSPLANTE</t>
  </si>
  <si>
    <t xml:space="preserve">    15 - 3 -31</t>
  </si>
  <si>
    <t>COMBUSTIBLE BOMBA</t>
  </si>
  <si>
    <t>Los dos tipos de lechuga que se comercializan en el mercado son la americana y la criolla. La unidad de comercialización de ambos tipos es la java. La lechuga muestreada procedía de Tejar del Guarco. La java de lechuga criolla contiene 40 unidades, el peso promedio unitario obtenido fue de 330 gramos con un coeficiente de variación de 17,83 %.</t>
  </si>
  <si>
    <t>Con respecto a la lechuga americana, la java contiene 16 unidades. El peso promedio obtenido para cada lechuga fue de 381 gramos, con 28,64 % de coeficiente de variación.</t>
  </si>
  <si>
    <t>Producto -------------------Peso Promedio--------- Coeficiente de variación-----------Rango normal</t>
  </si>
  <si>
    <t>Lechuga criolla -------------330 gramos -----------------------17,83 % ---------------------271 a 388 gramos</t>
  </si>
  <si>
    <t>Lechuga americana -------381 gramos----------------------- 28,64 % ---------------------272 a 490 gramos</t>
  </si>
  <si>
    <t>peso promedio</t>
  </si>
  <si>
    <t>Total kilos/ha</t>
  </si>
  <si>
    <t>Javas plásticas para repollo</t>
  </si>
  <si>
    <t>KRESKO (Nitrato potasio)</t>
  </si>
  <si>
    <t>200cc</t>
  </si>
  <si>
    <t>SIAPTON 10 L. (VERDONE)</t>
  </si>
  <si>
    <t>13kg</t>
  </si>
  <si>
    <t>cal dolomitica (Calcio-Mg)</t>
  </si>
  <si>
    <t>300gs</t>
  </si>
  <si>
    <t>FERTIN HIDROXIDO</t>
  </si>
  <si>
    <t>CARBOXI CA (METALOSATO CA)</t>
  </si>
  <si>
    <t>0,5LT</t>
  </si>
  <si>
    <t>RIZOLEX 50%PM (Monzoren)</t>
  </si>
  <si>
    <t>TRIMILTOX FORTE (Oxicop)</t>
  </si>
  <si>
    <t>500gs</t>
  </si>
  <si>
    <t>100cc</t>
  </si>
  <si>
    <t>IMPIDE (ISK)</t>
  </si>
  <si>
    <t>0,5lt</t>
  </si>
  <si>
    <t>MALATHION (Volaton)</t>
  </si>
  <si>
    <t xml:space="preserve">NITRATO POTASIO </t>
  </si>
  <si>
    <t>cebolla</t>
  </si>
  <si>
    <t>Solanum melongena</t>
  </si>
  <si>
    <t>0.45 m entre plantas y 1.30 entre zurcos:  17.000 pl/ha.</t>
  </si>
  <si>
    <t>tarro 420gs</t>
  </si>
  <si>
    <t>5000sem</t>
  </si>
  <si>
    <t>bejo</t>
  </si>
  <si>
    <t>vainica provider green</t>
  </si>
  <si>
    <t>Fuente :  COOPEBAIRES.</t>
  </si>
  <si>
    <t>10-4-26-8-10-kmag cafesa</t>
  </si>
  <si>
    <t xml:space="preserve">  10-30-10 "S"   fertica </t>
  </si>
  <si>
    <t xml:space="preserve">  15-3-31 quim. fertica</t>
  </si>
  <si>
    <t>nitramon fertica</t>
  </si>
  <si>
    <t>2kg</t>
  </si>
  <si>
    <t>PHYTON 27 (o Mastercoop)</t>
  </si>
  <si>
    <t>FUENTE: coopebaires rl, ALMACEN DE INSUMOS.</t>
  </si>
  <si>
    <t>Nota: El tamaño delos rollos varía mucho según cada productor.</t>
  </si>
  <si>
    <t>papa no certificada buena calidad</t>
  </si>
  <si>
    <t>bomba carpi 18lt</t>
  </si>
  <si>
    <t>bomba estacionaria</t>
  </si>
  <si>
    <t>saco borucha</t>
  </si>
  <si>
    <t>bota colibri bajas</t>
  </si>
  <si>
    <t>carretillo grande plastico</t>
  </si>
  <si>
    <t>ganchas</t>
  </si>
  <si>
    <t>mallas grandes</t>
  </si>
  <si>
    <t xml:space="preserve">mangera 100m </t>
  </si>
  <si>
    <t xml:space="preserve">mangera 15m </t>
  </si>
  <si>
    <t>manometros presion</t>
  </si>
  <si>
    <t>mascarilla</t>
  </si>
  <si>
    <t>mascarilla grande de carbon</t>
  </si>
  <si>
    <t>pala carrilera</t>
  </si>
  <si>
    <t>pala ancha</t>
  </si>
  <si>
    <t>plastico negro 6m ancho</t>
  </si>
  <si>
    <t>plastico amarillo trampa</t>
  </si>
  <si>
    <t>Tricodermas</t>
  </si>
  <si>
    <t>galon</t>
  </si>
  <si>
    <t xml:space="preserve">  15-3-20 abopac</t>
  </si>
  <si>
    <t>NITROFOSCA 15-5-20 aporca</t>
  </si>
  <si>
    <t>25kg</t>
  </si>
  <si>
    <t>NITRATO DE CALCIO kg cafesa</t>
  </si>
  <si>
    <t xml:space="preserve">FOLIAR k-27 </t>
  </si>
  <si>
    <t>Agrial - K35</t>
  </si>
  <si>
    <t>Nitrato de calcio 25kg CAFESA</t>
  </si>
  <si>
    <t>CAL saco</t>
  </si>
  <si>
    <t>ACROBAT Mz69 wp (Mancozeb) Dithane M80</t>
  </si>
  <si>
    <r>
      <t xml:space="preserve">ORTHOCIDE 50WP </t>
    </r>
    <r>
      <rPr>
        <b/>
        <sz val="10"/>
        <rFont val="Arial"/>
        <family val="2"/>
      </rPr>
      <t>(captan)</t>
    </r>
  </si>
  <si>
    <t>CAPTAN LT</t>
  </si>
  <si>
    <t>Penetrante bayer lt</t>
  </si>
  <si>
    <t>OTROS HERRAMIENTAS Y EQUIPOS.</t>
  </si>
  <si>
    <t>MANEB (M80)</t>
  </si>
  <si>
    <t xml:space="preserve">fertilizacion 12-24-12 </t>
  </si>
  <si>
    <t xml:space="preserve">ADHERENTE </t>
  </si>
  <si>
    <t xml:space="preserve">Zurco </t>
  </si>
  <si>
    <t>regia</t>
  </si>
  <si>
    <t xml:space="preserve">gradalam </t>
  </si>
  <si>
    <t>mayo</t>
  </si>
  <si>
    <t>2-4kg/ha</t>
  </si>
  <si>
    <t>telefono: 2530-0077</t>
  </si>
  <si>
    <t>2530-0475</t>
  </si>
  <si>
    <t xml:space="preserve">PERDIDA EN PLANTAS (20%) : </t>
  </si>
  <si>
    <t>Precio finca :600 - 2500 caja.</t>
  </si>
  <si>
    <t>nd</t>
  </si>
  <si>
    <t>AMINOAC. Duwest</t>
  </si>
  <si>
    <t>cebolla 515 (Verano)</t>
  </si>
  <si>
    <t>sobre 100 mil sem.</t>
  </si>
  <si>
    <t>cebolla 515</t>
  </si>
  <si>
    <t>matajari</t>
  </si>
  <si>
    <t>terranova</t>
  </si>
  <si>
    <t>TJG</t>
  </si>
  <si>
    <t>Regia</t>
  </si>
  <si>
    <t>0.5kg</t>
  </si>
  <si>
    <t>cebolla matajari</t>
  </si>
  <si>
    <t>100 mil sem</t>
  </si>
  <si>
    <t>fertilizante formula completa</t>
  </si>
  <si>
    <t>SEMILLA floresta de calidad</t>
  </si>
  <si>
    <t>Zurcada Y TAPADA CABALLO</t>
  </si>
  <si>
    <t>DIA ANIM.</t>
  </si>
  <si>
    <t>qq</t>
  </si>
  <si>
    <t>Plantas chile dulce nathalie</t>
  </si>
  <si>
    <t>TOMATE  HIBRIDO</t>
  </si>
  <si>
    <t>(se estima 10% reposicion plantas)</t>
  </si>
  <si>
    <t xml:space="preserve">SEMILLA : FLORESTA DE CALIDAD </t>
  </si>
  <si>
    <t>MAG, La Huerta, Boletin divulgativo, No !!=, Juan Jose Castro Retana, 1992. (OPS; INCAP).</t>
  </si>
  <si>
    <t>Costo Total ¢</t>
  </si>
  <si>
    <t>Cultivos</t>
  </si>
  <si>
    <t>Papa</t>
  </si>
  <si>
    <t>Brocoli</t>
  </si>
  <si>
    <t>Chile Dulce</t>
  </si>
  <si>
    <t>Vainica</t>
  </si>
  <si>
    <t>Zapallo</t>
  </si>
  <si>
    <t>Rendimiento, Costo por hectarea y costo unitario principales hortalizas de la región.</t>
  </si>
  <si>
    <t>Kg</t>
  </si>
  <si>
    <t>Unidades</t>
  </si>
  <si>
    <t>rollos</t>
  </si>
  <si>
    <t>Costo unitario (en colones /kg o unid)</t>
  </si>
  <si>
    <t>Rendimiento/ha</t>
  </si>
  <si>
    <t>SUPER GREEN 12-60-0</t>
  </si>
  <si>
    <t>15-2-22-6-2-2-5 cafesa aporca</t>
  </si>
  <si>
    <t>incline</t>
  </si>
  <si>
    <t>CYCOSIN polvo 70wp</t>
  </si>
  <si>
    <t>M-80 MANEB (Maneb) dithane</t>
  </si>
  <si>
    <t>metalosatos precio similar: calcio, boro, zinc, mg</t>
  </si>
  <si>
    <t>PRECIOS DE VENTA AL PUBLICO DE ALGUNOS AGROQUIMICOS (Marzo-2010).</t>
  </si>
  <si>
    <t>FUNGICIDAS-BACTERICIDAS.</t>
  </si>
  <si>
    <t xml:space="preserve">    Nombre Comercial</t>
  </si>
  <si>
    <t xml:space="preserve">      Nombre Genérico</t>
  </si>
  <si>
    <t>Presentación</t>
  </si>
  <si>
    <t>Precio ( C ).</t>
  </si>
  <si>
    <t>Antracol 70 WP</t>
  </si>
  <si>
    <t>Propineb</t>
  </si>
  <si>
    <t>750 gr</t>
  </si>
  <si>
    <t>Clortosip 72 SC</t>
  </si>
  <si>
    <t>Clorotalonil</t>
  </si>
  <si>
    <t>Litro</t>
  </si>
  <si>
    <t>Manzate 80 WP</t>
  </si>
  <si>
    <t>Mancozeb</t>
  </si>
  <si>
    <t>900 gr</t>
  </si>
  <si>
    <t>Dithane N-80</t>
  </si>
  <si>
    <t>Hidrocoop 50 WP</t>
  </si>
  <si>
    <t>Hidróxido de Cobre</t>
  </si>
  <si>
    <t>500 gr</t>
  </si>
  <si>
    <t>Cycosin 50 SC</t>
  </si>
  <si>
    <t>Metil Tiofanato</t>
  </si>
  <si>
    <t>Rovral 50 WP</t>
  </si>
  <si>
    <t>Iprodione</t>
  </si>
  <si>
    <t>Cuproflow Caffaro 35,78 SC</t>
  </si>
  <si>
    <t>Oxicloruro de Cobre</t>
  </si>
  <si>
    <t>Rizolex 50 WP</t>
  </si>
  <si>
    <t>Tolclofos Metil</t>
  </si>
  <si>
    <t>Mirage 45 EC</t>
  </si>
  <si>
    <t>Procloraz</t>
  </si>
  <si>
    <t>Agrimycin 16.5 WP</t>
  </si>
  <si>
    <t>Estreptomicina + Oxitetraciclina</t>
  </si>
  <si>
    <t>250 gr</t>
  </si>
  <si>
    <t>Fentin Hidróxido 20 WP</t>
  </si>
  <si>
    <t>Fentin Hidróxido</t>
  </si>
  <si>
    <t>300 gr</t>
  </si>
  <si>
    <t>Cobrethane 61.1 WP</t>
  </si>
  <si>
    <t>Mancozeb + Oxicloruro de Cobre</t>
  </si>
  <si>
    <t>Vitavax 40 WP</t>
  </si>
  <si>
    <t>Carboxin + Captan</t>
  </si>
  <si>
    <t>Tebefol 80 WP</t>
  </si>
  <si>
    <t>Fosetyl - Al</t>
  </si>
  <si>
    <t>3,625,00</t>
  </si>
  <si>
    <t>Atemi 10 SL</t>
  </si>
  <si>
    <t>Ciproconazol</t>
  </si>
  <si>
    <t>Biocto 84,68 SL</t>
  </si>
  <si>
    <t>Extracto de semillas de cítricos</t>
  </si>
  <si>
    <t>Biomil 50 WP</t>
  </si>
  <si>
    <t>Benomyl</t>
  </si>
  <si>
    <t>Biocarben Bioquim 75WP</t>
  </si>
  <si>
    <t>Carbendazina</t>
  </si>
  <si>
    <t>INSECTICIDAS-ACARICIDAS-NEMATICIDAS</t>
  </si>
  <si>
    <t>Rimac Clorpirifos 10G</t>
  </si>
  <si>
    <t>Clorpirifos</t>
  </si>
  <si>
    <t>15 Kg</t>
  </si>
  <si>
    <t>Padan 50 SP</t>
  </si>
  <si>
    <t>Cartap</t>
  </si>
  <si>
    <t>Evisect 50 SP</t>
  </si>
  <si>
    <t>Tiociclam Hidrógeno Oxalato</t>
  </si>
  <si>
    <t>200 gr</t>
  </si>
  <si>
    <t>Decis 2,5 EC</t>
  </si>
  <si>
    <t>Deltametrina</t>
  </si>
  <si>
    <t>Vertimec 1,8 EC</t>
  </si>
  <si>
    <t>Vydate 24 SL</t>
  </si>
  <si>
    <t>Oxamyl</t>
  </si>
  <si>
    <t>Furadan 48 SC</t>
  </si>
  <si>
    <t>Carbofuran</t>
  </si>
  <si>
    <t>Dipel 3.5 SL</t>
  </si>
  <si>
    <t>Bacillus thurigiensis</t>
  </si>
  <si>
    <t>Thionex 35 EC  (*)</t>
  </si>
  <si>
    <t>Endosulfan</t>
  </si>
  <si>
    <t>Thimet 10G</t>
  </si>
  <si>
    <t>Forato</t>
  </si>
  <si>
    <t>Tamaron 60 SL  (*)</t>
  </si>
  <si>
    <t>Metamidofos</t>
  </si>
  <si>
    <t>Karate Zeon 2.5 CS</t>
  </si>
  <si>
    <t>Lamda-Cyhalothrin</t>
  </si>
  <si>
    <t>Lannate 21,6 SL  (*)</t>
  </si>
  <si>
    <t>Metomil</t>
  </si>
  <si>
    <t>100 gr</t>
  </si>
  <si>
    <t>Mocap 10 G</t>
  </si>
  <si>
    <t>Ethoprop</t>
  </si>
  <si>
    <t>Tigre 25 EC  (**)</t>
  </si>
  <si>
    <t>Dimetoato + Cipermetrina</t>
  </si>
  <si>
    <t>Solver 48 EC  (**)</t>
  </si>
  <si>
    <t>Dantox 40 EC   (**)</t>
  </si>
  <si>
    <t>Dimetoato</t>
  </si>
  <si>
    <t>(*)  Productos casi no se expenden en agroservicios.</t>
  </si>
  <si>
    <t>(**) Nuevas opciones de agroquímicos.</t>
  </si>
  <si>
    <t>En negrita (producto de uso restringido ó prohibidos)</t>
  </si>
  <si>
    <t>FERTILIZANTES FOLIARES.</t>
  </si>
  <si>
    <t>Metalosato Calcio</t>
  </si>
  <si>
    <t>Quelato de aminoácidos</t>
  </si>
  <si>
    <t>Metalosato Fósforo (4-17-17)</t>
  </si>
  <si>
    <t>Metalosato Multiminerales</t>
  </si>
  <si>
    <t>Metalosato Zinc</t>
  </si>
  <si>
    <t>Nutriverde NK</t>
  </si>
  <si>
    <t>Nitrato de Potasio</t>
  </si>
  <si>
    <t xml:space="preserve">Nutriverde </t>
  </si>
  <si>
    <t>Sulfato de Magnesio</t>
  </si>
  <si>
    <t>Kresko</t>
  </si>
  <si>
    <t>26-0-26 + trazas de Zn,B,Mo</t>
  </si>
  <si>
    <t>2 Kg</t>
  </si>
  <si>
    <t>Fetrilon Combi  (*)</t>
  </si>
  <si>
    <t>Sales de Elementos menores</t>
  </si>
  <si>
    <t>100 grs</t>
  </si>
  <si>
    <t>Manvert Boro 14</t>
  </si>
  <si>
    <t>Boro orgánico</t>
  </si>
  <si>
    <t>Biofix</t>
  </si>
  <si>
    <t>Sales de NPK + Acido Húmico</t>
  </si>
  <si>
    <t>Kadostim</t>
  </si>
  <si>
    <t>0-0-40+ Aminoácidos (*)</t>
  </si>
  <si>
    <t>Fosnutren</t>
  </si>
  <si>
    <t>4-6-0 + Aminoácidos</t>
  </si>
  <si>
    <t>18.050.00</t>
  </si>
  <si>
    <t>Humiforte</t>
  </si>
  <si>
    <t>6-3-5 + Aminoácidos</t>
  </si>
  <si>
    <t>Wuxal</t>
  </si>
  <si>
    <t>16-16-12-1(B)-1(Zn)</t>
  </si>
  <si>
    <t>Nitrofoska</t>
  </si>
  <si>
    <t>Quelato EDTA.</t>
  </si>
  <si>
    <t>Tricel 20-20-20</t>
  </si>
  <si>
    <t>Sales de NPK + M.O.</t>
  </si>
  <si>
    <t>18-45-0</t>
  </si>
  <si>
    <t>Quelato EDTA + M.O.</t>
  </si>
  <si>
    <t>Oligomix-Co</t>
  </si>
  <si>
    <t>0-0-0-4(Mg)-4(Fe)-2(Zn)-1,5(Mn)-1,2(B)</t>
  </si>
  <si>
    <t>(*)  Producto ya no se expende en agroservicios.</t>
  </si>
  <si>
    <t>HERBICIDAS.</t>
  </si>
  <si>
    <t>Reglone 20 SL</t>
  </si>
  <si>
    <t>Diquat</t>
  </si>
  <si>
    <t>Afacoop 50 WP</t>
  </si>
  <si>
    <t>Linuron</t>
  </si>
  <si>
    <t>Fusilade 12,5 EC</t>
  </si>
  <si>
    <t>Fluazifop-p-butyl</t>
  </si>
  <si>
    <t>Evigras 35,6 SL</t>
  </si>
  <si>
    <t>Glifosato</t>
  </si>
  <si>
    <t>Sencor 70 WP</t>
  </si>
  <si>
    <t>Metribuzin</t>
  </si>
  <si>
    <t>Pendiente</t>
  </si>
  <si>
    <t>Gramoxone 20 SL</t>
  </si>
  <si>
    <t>Paraquat</t>
  </si>
  <si>
    <t>En negrita (producto de uso restringido)</t>
  </si>
  <si>
    <t>SURFACTANTES (Adherentes-Dispersantes-Penetrantes-Activadores).</t>
  </si>
  <si>
    <t>Surfacid 30 SL</t>
  </si>
  <si>
    <t>Alcohol tridecílico</t>
  </si>
  <si>
    <t>Cosmo In d 27 SL</t>
  </si>
  <si>
    <t>Alcohol etoxilado</t>
  </si>
  <si>
    <t>WK 85 SL</t>
  </si>
  <si>
    <t>Nonoxinol</t>
  </si>
  <si>
    <t>Fertilizantes Granulares.</t>
  </si>
  <si>
    <t>10-30-10 S     MF</t>
  </si>
  <si>
    <t>N-P-K + S</t>
  </si>
  <si>
    <t>45 Kg</t>
  </si>
  <si>
    <t>12-24-12        MF</t>
  </si>
  <si>
    <t>15-15-15        MF</t>
  </si>
  <si>
    <t>N-P-K</t>
  </si>
  <si>
    <t>15/03/31        MF</t>
  </si>
  <si>
    <t>18-5-15-6-0,2(B)-2,4(S)   MF</t>
  </si>
  <si>
    <t>N-P-K-Mg-B-S</t>
  </si>
  <si>
    <t>K-MAG</t>
  </si>
  <si>
    <t>Sulfato doble de K y Mg</t>
  </si>
  <si>
    <t>Nitrato de Amonio 33,5 N</t>
  </si>
  <si>
    <t>Nitrato de Amonio</t>
  </si>
  <si>
    <t>MF = Producto como Mezcla Física.</t>
  </si>
  <si>
    <t>SEMILLAS.</t>
  </si>
  <si>
    <t>Ayote (var. Sello de Oro)</t>
  </si>
  <si>
    <t>Ayote</t>
  </si>
  <si>
    <t>Cebolla (var. Gladalan Brown)</t>
  </si>
  <si>
    <t>Zanahoria (Bangor F-1)</t>
  </si>
  <si>
    <t>Zanahoria híbrida</t>
  </si>
  <si>
    <t>Libra</t>
  </si>
  <si>
    <t>Remolacha (Boro)</t>
  </si>
  <si>
    <t>5 mil semillas</t>
  </si>
  <si>
    <t>Vainica (var. Provider)</t>
  </si>
  <si>
    <t>Culantro (Griffaton)</t>
  </si>
  <si>
    <t>Culantro castilla</t>
  </si>
  <si>
    <t>Fuente : Ing. Francisco Arguedas. MAG/ Coordinador agricultura organica.</t>
  </si>
  <si>
    <t>SEMILLA  REMOLACHA BORO</t>
  </si>
  <si>
    <t>K-MAG (Sulfato doble de K y Mg)</t>
  </si>
  <si>
    <t xml:space="preserve">Metalosato MULTIMINERALES </t>
  </si>
  <si>
    <t>Nutriverde NK (NITRATO DE POTASIO )</t>
  </si>
  <si>
    <t>HERBIC.Glisofato</t>
  </si>
  <si>
    <t>Tigre</t>
  </si>
  <si>
    <t>Insect. Karate Zeon 2.5 CS</t>
  </si>
  <si>
    <t xml:space="preserve">Tigre </t>
  </si>
  <si>
    <t>Lorsban</t>
  </si>
  <si>
    <t>linuron</t>
  </si>
  <si>
    <t>Semilla Gradalam Brown</t>
  </si>
  <si>
    <t>SENCOR (Metribuzin)</t>
  </si>
  <si>
    <t xml:space="preserve"> Afalon 47 wp( afacoop , linuron)</t>
  </si>
  <si>
    <t>Reglone 20 SL (Diquat)</t>
  </si>
  <si>
    <t>DACONIL polvo (clorotalonil) 82,5wg</t>
  </si>
  <si>
    <t>PADAN (Cartap)</t>
  </si>
  <si>
    <t>Dipel  (Bacillus thuringiensis., ecotech)</t>
  </si>
  <si>
    <t>Solver  (clorpirifos)</t>
  </si>
  <si>
    <t>Clortosip 72 SC (bravonil)</t>
  </si>
  <si>
    <t>Nuevo</t>
  </si>
  <si>
    <t>250gs</t>
  </si>
  <si>
    <t>preguntar ???</t>
  </si>
  <si>
    <t>preguntar ??</t>
  </si>
  <si>
    <t>????</t>
  </si>
  <si>
    <t>Boro organico</t>
  </si>
  <si>
    <t>ácido hùmico  agrocosta</t>
  </si>
  <si>
    <t xml:space="preserve">FOSNUTREN </t>
  </si>
  <si>
    <t>BENOMYL</t>
  </si>
  <si>
    <t>adherente :  Surfacid</t>
  </si>
  <si>
    <t>Ingreso  bruto/ha</t>
  </si>
  <si>
    <t>Utilidad/ha</t>
  </si>
  <si>
    <t>COSTO/KG   :</t>
  </si>
  <si>
    <t>Precio finca 2a :</t>
  </si>
  <si>
    <t xml:space="preserve">Precio finca 2a </t>
  </si>
  <si>
    <t>chile primera</t>
  </si>
  <si>
    <t>segunda</t>
  </si>
  <si>
    <t>terecera</t>
  </si>
  <si>
    <t>Peso promedio chile dulce (En gramos)</t>
  </si>
  <si>
    <t>MAQUINARIA palin 1 sola pasada</t>
  </si>
  <si>
    <t>MAQUINARIA arada, rastra</t>
  </si>
  <si>
    <t>papa  semilla menor calidad</t>
  </si>
  <si>
    <t>repollo verde Escazu</t>
  </si>
  <si>
    <t>Bangor</t>
  </si>
  <si>
    <t>Zanahoria Bangor</t>
  </si>
  <si>
    <t>remolacha Bejo</t>
  </si>
  <si>
    <t>zapallo Labelli</t>
  </si>
  <si>
    <t>SEMILLA zapallo labelli</t>
  </si>
  <si>
    <t xml:space="preserve">  12-24-12 MF CAFESA</t>
  </si>
  <si>
    <t>18-5-15-6-0,2(B)-2,4(S)   MF CAFESA</t>
  </si>
  <si>
    <t>ALIETTE 80 WP 500GR</t>
  </si>
  <si>
    <t xml:space="preserve">Fertin Hidroxido </t>
  </si>
  <si>
    <t>CUPRAVIT COBRE</t>
  </si>
  <si>
    <t>Biocarben Bioquim 75WP (carbendazina)</t>
  </si>
  <si>
    <t>AMBUSH VIDAGRO o Coyote .</t>
  </si>
  <si>
    <t>EVISECT 50SP</t>
  </si>
  <si>
    <t>Biocto 84,68 SL o Kilol</t>
  </si>
  <si>
    <t>0.5lt</t>
  </si>
  <si>
    <t>454gs</t>
  </si>
  <si>
    <t>microrganismos eficientes</t>
  </si>
  <si>
    <t>GALANT 240 EC (SELECT)</t>
  </si>
  <si>
    <t>ROUNDOP</t>
  </si>
  <si>
    <t>Relac B/C:</t>
  </si>
  <si>
    <t xml:space="preserve">DENSIDAD en ERAS: </t>
  </si>
  <si>
    <t>(distancia : 40 cm*40cm)</t>
  </si>
  <si>
    <t>bien que las plantas se queden muy pequeñas. Muy suceptible a hongos</t>
  </si>
  <si>
    <t>( 30%  perdida por  enfermedades fungosas)</t>
  </si>
  <si>
    <t>* Se siembra en areas muy pequeñas, ya que el mercado es muy reducido.</t>
  </si>
  <si>
    <t xml:space="preserve">* Se cultiva junto con culantro, lechugas, chile, tomate. Etc. </t>
  </si>
  <si>
    <t>Despues de inicio de cosecha se puede seguir cosechando 1 o 2 meses.</t>
  </si>
  <si>
    <t>*  Se siembra una vez por año. (Guarco, oreamuno, Cachi, Paraiso, Alajuela, Heredia)</t>
  </si>
  <si>
    <t xml:space="preserve">Urea 46% Nitrogeno cafesa </t>
  </si>
  <si>
    <t>ABOPAC 12-27-8-2.5-0 (S) QUIMI</t>
  </si>
  <si>
    <t>19-4-19-3-0.1 abopac aporca Quimico</t>
  </si>
  <si>
    <t>23kg</t>
  </si>
  <si>
    <t>23KG</t>
  </si>
  <si>
    <t>WUXALcalcio (agrocalcio)</t>
  </si>
  <si>
    <t>No hay en alamcen</t>
  </si>
  <si>
    <t>MANZATE 80 WP (mancozeb) duwest</t>
  </si>
  <si>
    <t>No hay</t>
  </si>
  <si>
    <t>RIDOMIL GOLD (mancozeb+metlaxyl)</t>
  </si>
  <si>
    <t>no hay</t>
  </si>
  <si>
    <t>AGRI-MYCIN 16.5WP bactericida</t>
  </si>
  <si>
    <t>KASUMIN  bactericida/fungicida</t>
  </si>
  <si>
    <t>9486/5k</t>
  </si>
  <si>
    <t>VIDATE (nematicida)</t>
  </si>
  <si>
    <t>500cc</t>
  </si>
  <si>
    <t>FURADAN 10% (carbaril)  (Nematicida)</t>
  </si>
  <si>
    <t>Glifomax  (Evigras)</t>
  </si>
  <si>
    <t>npk Ecohum</t>
  </si>
  <si>
    <t>Adherente Bayer</t>
  </si>
  <si>
    <t>Plastico invernadero trasnsparente 6mts 1Mx1Kg</t>
  </si>
  <si>
    <t>plastico ambar invernad 6m x 1m (1kg)</t>
  </si>
  <si>
    <t>RENDIMIENTO/HA (según censo)</t>
  </si>
  <si>
    <t>GROW MORE 20-20-20</t>
  </si>
  <si>
    <t>AVENGER</t>
  </si>
  <si>
    <t>Brócoli AVENGER</t>
  </si>
  <si>
    <t>NP7   104 lt</t>
  </si>
  <si>
    <t>PEGA NP7</t>
  </si>
  <si>
    <t>PENETRANTE : np7</t>
  </si>
  <si>
    <t xml:space="preserve">FUNGICIDA M - 80 </t>
  </si>
  <si>
    <t xml:space="preserve">HERBIC. EVIGRAS </t>
  </si>
  <si>
    <t>PRECIO FINCA (Marzo 2012)</t>
  </si>
  <si>
    <t>zapallo (ayote) tierno</t>
  </si>
  <si>
    <t>Zapallo (Ayote) : COSTO DE PRODUCCION POR HECTAREA.</t>
  </si>
  <si>
    <t xml:space="preserve">Precio en finca según estadisticas de CNP. </t>
  </si>
  <si>
    <t xml:space="preserve"> *El ciclo completo tarda entre 8 a 9 meses. (siembra a transplante 2 meses, de aquí hasta </t>
  </si>
  <si>
    <t>inicio cosecha 4 a 5 meses)</t>
  </si>
  <si>
    <t>18qq</t>
  </si>
  <si>
    <t>tm</t>
  </si>
  <si>
    <t>carga 18qq</t>
  </si>
  <si>
    <t>Cosecha papa (otros pagan x jornal)</t>
  </si>
  <si>
    <t>se habla de 9000 pl/ha</t>
  </si>
  <si>
    <t>25 tm/ha ayote sazon, monocultivo.</t>
  </si>
  <si>
    <t xml:space="preserve">tesis de Catie </t>
  </si>
  <si>
    <t xml:space="preserve">Productor del Yas : 1.5 ha produjo  32.000 tm tierno. </t>
  </si>
  <si>
    <t>1,4 has</t>
  </si>
  <si>
    <t>culantro long standing</t>
  </si>
  <si>
    <t>ABONO ORGANICO Juan Viñas</t>
  </si>
  <si>
    <t xml:space="preserve">ABONO ORGANICO </t>
  </si>
  <si>
    <t>Calcio boro bioplant</t>
  </si>
  <si>
    <t>18-45-0  Cosmo Foliar</t>
  </si>
  <si>
    <t>BENOMIL 100GS y 500 gs</t>
  </si>
  <si>
    <t>Hidrocob 50 WP</t>
  </si>
  <si>
    <t>4lt</t>
  </si>
  <si>
    <t>ROVRAL FL  (Calidan 10,600/lt)</t>
  </si>
  <si>
    <t>Zinc MAX  LT</t>
  </si>
  <si>
    <t>actualizar a 2013</t>
  </si>
  <si>
    <t>AVIO DE PAPA 1</t>
  </si>
  <si>
    <t>Transporte insumos a finca</t>
  </si>
  <si>
    <t>Insecticidas : Deltametrina</t>
  </si>
  <si>
    <t>abamectina</t>
  </si>
  <si>
    <t>propineb</t>
  </si>
  <si>
    <t xml:space="preserve">PENETRANTE </t>
  </si>
  <si>
    <t xml:space="preserve">Herbicida :    LINURON </t>
  </si>
  <si>
    <t>INSECTICIDAS :   Deltametrina</t>
  </si>
  <si>
    <t xml:space="preserve">SEMILLA hibrida Bangor </t>
  </si>
  <si>
    <t>PREPARAC. DE  ERAS</t>
  </si>
  <si>
    <t>APLIC.  HERBICIDA</t>
  </si>
  <si>
    <t>SIEMBRA Y 2 ABONADAS</t>
  </si>
  <si>
    <t>APLICAC. FUNGICIDA E INSECTIC.</t>
  </si>
  <si>
    <t>PROPINEB</t>
  </si>
  <si>
    <t>CLOROTALONIL</t>
  </si>
  <si>
    <t>MANCOZEB</t>
  </si>
  <si>
    <t>QUELATO DE AMINOACIDOS</t>
  </si>
  <si>
    <t>QUELATOS DE AMINOACIDOS</t>
  </si>
  <si>
    <t xml:space="preserve">NITRATO DE POTASIO </t>
  </si>
  <si>
    <t xml:space="preserve">NITRATO DE CALCIO </t>
  </si>
  <si>
    <t>QUELATOS AMINOACIDOS</t>
  </si>
  <si>
    <t>METALOSATO  ZINC  (QUELATOS)</t>
  </si>
  <si>
    <t>SALES ELEMENTOS MENORES (YA NO SE VENDE)</t>
  </si>
  <si>
    <t>Clorpirifos 10G o clorpirifos Bioquim (LORSBAN)</t>
  </si>
  <si>
    <t xml:space="preserve"> 12-27- 8-2.5  PA abopac</t>
  </si>
  <si>
    <t xml:space="preserve">  10-30-10 - S  CAFESA</t>
  </si>
  <si>
    <t>10-24-12  cafesa</t>
  </si>
  <si>
    <t xml:space="preserve">  12-24-12 cafesa</t>
  </si>
  <si>
    <t xml:space="preserve">  15-15-15 cafesa</t>
  </si>
  <si>
    <t>Calcio MAG</t>
  </si>
  <si>
    <t xml:space="preserve">NUTRIVERDE </t>
  </si>
  <si>
    <t>500 gs</t>
  </si>
  <si>
    <t>POR AQUÍ VOY</t>
  </si>
  <si>
    <t>coreo de hector cordero:     hecordero10@hotmail.com, hecordero@costarricense.cr</t>
  </si>
  <si>
    <t>Zurcada bueyes  (casi no se usa)</t>
  </si>
  <si>
    <t>ZURC. Y TAPADO C/ CABALLO</t>
  </si>
  <si>
    <t>FERT. 12-30-8-6-22</t>
  </si>
  <si>
    <t xml:space="preserve">FUNGIC. PREVENTIVO: </t>
  </si>
  <si>
    <t>FUNGICIDA SUELO:</t>
  </si>
  <si>
    <t>MONCUT</t>
  </si>
  <si>
    <t>MONCUT (Monzeren o PCNB)</t>
  </si>
  <si>
    <t xml:space="preserve">FUNGIC. CURATIVOS: </t>
  </si>
  <si>
    <t>FOLIARES:</t>
  </si>
  <si>
    <t>CURZATE</t>
  </si>
  <si>
    <t>POSITRON</t>
  </si>
  <si>
    <t>ALIETTE</t>
  </si>
  <si>
    <t xml:space="preserve">PEGA SURFACID </t>
  </si>
  <si>
    <t>HERBIC. PARAQUAT</t>
  </si>
  <si>
    <t>GRAMOXONE</t>
  </si>
  <si>
    <t>PARAQUAT</t>
  </si>
  <si>
    <t>100CC</t>
  </si>
  <si>
    <r>
      <rPr>
        <b/>
        <sz val="10"/>
        <rFont val="Arial"/>
        <family val="2"/>
      </rPr>
      <t>INSECTIC:</t>
    </r>
    <r>
      <rPr>
        <sz val="10"/>
        <rFont val="Arial"/>
        <family val="2"/>
      </rPr>
      <t xml:space="preserve">    CLORPIRIFOS</t>
    </r>
  </si>
  <si>
    <t>AVAUNT</t>
  </si>
  <si>
    <t>37.5GS</t>
  </si>
  <si>
    <t xml:space="preserve">AVAUNT </t>
  </si>
  <si>
    <t>37,5GS</t>
  </si>
  <si>
    <t>50CC</t>
  </si>
  <si>
    <t>50cc</t>
  </si>
  <si>
    <t>Avaunt (cortador)</t>
  </si>
  <si>
    <t xml:space="preserve">alquiler terreno: 200-300.000 /ha /año . </t>
  </si>
  <si>
    <t>Foliares: QUELATO DE AMINOACIDOS</t>
  </si>
  <si>
    <t>FUNGICIDAS PREVENTIVO: Mancozeb</t>
  </si>
  <si>
    <t>FUNGIC.CURATIVO</t>
  </si>
  <si>
    <t>CALIDAN LITRO</t>
  </si>
  <si>
    <t>Calidan LT</t>
  </si>
  <si>
    <t>Calidan</t>
  </si>
  <si>
    <t>Moncut</t>
  </si>
  <si>
    <t>NEMATICIDA :    Nemacur</t>
  </si>
  <si>
    <t>1a FERT. 12-30-8-6-22</t>
  </si>
  <si>
    <t>2a FERT.Hidrocomplex</t>
  </si>
  <si>
    <t>1a FERTIL.12-24-12</t>
  </si>
  <si>
    <t>2a FERTIL.12-30-8</t>
  </si>
  <si>
    <t>BANDEJAS</t>
  </si>
  <si>
    <t>SEMILLAS</t>
  </si>
  <si>
    <t>COL</t>
  </si>
  <si>
    <t>COL/SEM</t>
  </si>
  <si>
    <t>ESCAZU</t>
  </si>
  <si>
    <t>25000 SEM</t>
  </si>
  <si>
    <t>Bandeja hechura repollo 250 pl</t>
  </si>
  <si>
    <t>bandeja 250 plantas</t>
  </si>
  <si>
    <t>35000 pl/ha</t>
  </si>
  <si>
    <t>SEMILLA ESCAZU</t>
  </si>
  <si>
    <t>25,000 semillas</t>
  </si>
  <si>
    <t>HECHURA BANDEJAS</t>
  </si>
  <si>
    <t>bandejas 250 pl</t>
  </si>
  <si>
    <t>INSECTICIDA:  EVISECT</t>
  </si>
  <si>
    <t>REGENT 100 ML</t>
  </si>
  <si>
    <t>REGENT 100 cc</t>
  </si>
  <si>
    <t xml:space="preserve">100CC </t>
  </si>
  <si>
    <t>REGENT</t>
  </si>
  <si>
    <t xml:space="preserve">100 CC </t>
  </si>
  <si>
    <t xml:space="preserve">SILVACUR </t>
  </si>
  <si>
    <t>BACTERICIDA:AGRI-MYCIN</t>
  </si>
  <si>
    <t xml:space="preserve">COMBUSTIBLES </t>
  </si>
  <si>
    <t>sem/bandeja</t>
  </si>
  <si>
    <t>col/bandeja</t>
  </si>
  <si>
    <t>costo col</t>
  </si>
  <si>
    <t>costo plantulas</t>
  </si>
  <si>
    <t>semillas/ha</t>
  </si>
  <si>
    <t>hechura costo</t>
  </si>
  <si>
    <t>costo semillas</t>
  </si>
  <si>
    <t>HECHURA LOMILLOS (CABALLO)</t>
  </si>
  <si>
    <t>ABONOS : FERT.12-30-8</t>
  </si>
  <si>
    <t>prohibido</t>
  </si>
  <si>
    <t xml:space="preserve">Fecha: </t>
  </si>
  <si>
    <t>Precio Venta Finca (agosto2014)</t>
  </si>
  <si>
    <t>HIDROCOMPLEX 4 KL</t>
  </si>
  <si>
    <t>4kg</t>
  </si>
  <si>
    <t xml:space="preserve">Boro organico LT </t>
  </si>
  <si>
    <t xml:space="preserve">FLOURISH CROP   </t>
  </si>
  <si>
    <t xml:space="preserve">kg </t>
  </si>
  <si>
    <t>Precio Venta Finca (mayo 2015)</t>
  </si>
  <si>
    <t>Precio finca mayo 2015</t>
  </si>
  <si>
    <t xml:space="preserve">Fuente: Area produccion Sostenible. MAG Region Central Oriental, mayo 2015. </t>
  </si>
</sst>
</file>

<file path=xl/styles.xml><?xml version="1.0" encoding="utf-8"?>
<styleSheet xmlns="http://schemas.openxmlformats.org/spreadsheetml/2006/main">
  <numFmts count="19">
    <numFmt numFmtId="43" formatCode="_(* #,##0.00_);_(* \(#,##0.00\);_(* &quot;-&quot;??_);_(@_)"/>
    <numFmt numFmtId="164" formatCode="_-* #,##0.00_-;\-* #,##0.00_-;_-* &quot;-&quot;??_-;_-@_-"/>
    <numFmt numFmtId="165" formatCode="_(&quot;¢&quot;* #,##0.00_);_(&quot;¢&quot;* \(#,##0.00\);_(&quot;¢&quot;* &quot;-&quot;??_);_(@_)"/>
    <numFmt numFmtId="166" formatCode="0.0"/>
    <numFmt numFmtId="167" formatCode="_(* #,##0_);_(* \(#,##0\);_(* &quot;-&quot;??_);_(@_)"/>
    <numFmt numFmtId="168" formatCode="_(* #,##0.0_);_(* \(#,##0.0\);_(* &quot;-&quot;??_);_(@_)"/>
    <numFmt numFmtId="169" formatCode="0.00_)"/>
    <numFmt numFmtId="170" formatCode="0.0_)"/>
    <numFmt numFmtId="171" formatCode="0_)"/>
    <numFmt numFmtId="172" formatCode="_-* #,##0_-;\-* #,##0_-;_-* &quot;-&quot;??_-;_-@_-"/>
    <numFmt numFmtId="173" formatCode="_-* #,##0.0_-;\-* #,##0.0_-;_-* &quot;-&quot;??_-;_-@_-"/>
    <numFmt numFmtId="174" formatCode="_(&quot;¢&quot;* #,##0.0_);_(&quot;¢&quot;* \(#,##0.0\);_(&quot;¢&quot;* &quot;-&quot;??_);_(@_)"/>
    <numFmt numFmtId="175" formatCode="_(&quot;¢&quot;* #,##0_);_(&quot;¢&quot;* \(#,##0\);_(&quot;¢&quot;* &quot;-&quot;??_);_(@_)"/>
    <numFmt numFmtId="176" formatCode="&quot;$&quot;#,##0.00"/>
    <numFmt numFmtId="177" formatCode="&quot;$&quot;#,##0"/>
    <numFmt numFmtId="178" formatCode="[$¢-140A]#,##0"/>
    <numFmt numFmtId="179" formatCode="_([$€]* #,##0.00_);_([$€]* \(#,##0.00\);_([$€]* &quot;-&quot;??_);_(@_)"/>
    <numFmt numFmtId="180" formatCode="d/m/yy;@"/>
    <numFmt numFmtId="181" formatCode="[$-140A]dddd\,\ dd&quot; de &quot;mmmm&quot; de &quot;yyyy;@"/>
  </numFmts>
  <fonts count="88">
    <font>
      <sz val="10"/>
      <name val="Arial"/>
    </font>
    <font>
      <b/>
      <sz val="10"/>
      <name val="Arial"/>
      <family val="2"/>
    </font>
    <font>
      <b/>
      <i/>
      <sz val="10"/>
      <name val="Arial"/>
      <family val="2"/>
    </font>
    <font>
      <sz val="10"/>
      <name val="Arial"/>
      <family val="2"/>
    </font>
    <font>
      <b/>
      <u/>
      <sz val="10"/>
      <name val="Arial"/>
      <family val="2"/>
    </font>
    <font>
      <b/>
      <sz val="8"/>
      <name val="Arial"/>
      <family val="2"/>
    </font>
    <font>
      <b/>
      <sz val="9"/>
      <name val="Arial"/>
      <family val="2"/>
    </font>
    <font>
      <b/>
      <sz val="10"/>
      <name val="Arial"/>
      <family val="2"/>
    </font>
    <font>
      <sz val="12"/>
      <name val="Arial"/>
      <family val="2"/>
    </font>
    <font>
      <sz val="10"/>
      <name val="Arial"/>
      <family val="2"/>
    </font>
    <font>
      <b/>
      <sz val="8"/>
      <color indexed="81"/>
      <name val="Tahoma"/>
      <family val="2"/>
    </font>
    <font>
      <sz val="8"/>
      <color indexed="81"/>
      <name val="Tahoma"/>
      <family val="2"/>
    </font>
    <font>
      <b/>
      <i/>
      <sz val="10"/>
      <name val="Arial"/>
      <family val="2"/>
    </font>
    <font>
      <sz val="8"/>
      <name val="Arial"/>
      <family val="2"/>
    </font>
    <font>
      <b/>
      <sz val="10"/>
      <color indexed="8"/>
      <name val="Times New Roman"/>
      <family val="1"/>
    </font>
    <font>
      <sz val="8"/>
      <name val="Times New Roman"/>
      <family val="1"/>
    </font>
    <font>
      <b/>
      <i/>
      <sz val="8"/>
      <name val="Arial"/>
      <family val="2"/>
    </font>
    <font>
      <b/>
      <sz val="8"/>
      <color indexed="8"/>
      <name val="Times New Roman"/>
      <family val="1"/>
    </font>
    <font>
      <b/>
      <sz val="8"/>
      <name val="Times New Roman"/>
      <family val="1"/>
    </font>
    <font>
      <sz val="10"/>
      <name val="Times New Roman"/>
      <family val="1"/>
    </font>
    <font>
      <sz val="8"/>
      <color indexed="8"/>
      <name val="Times New Roman"/>
      <family val="1"/>
    </font>
    <font>
      <sz val="10"/>
      <color indexed="8"/>
      <name val="Times New Roman"/>
      <family val="1"/>
    </font>
    <font>
      <b/>
      <sz val="10"/>
      <color indexed="8"/>
      <name val="Times New Roman"/>
      <family val="1"/>
    </font>
    <font>
      <b/>
      <sz val="10"/>
      <name val="Times New Roman"/>
      <family val="1"/>
    </font>
    <font>
      <b/>
      <sz val="10"/>
      <name val="Times New Roman"/>
      <family val="1"/>
    </font>
    <font>
      <b/>
      <sz val="9"/>
      <name val="Times New Roman"/>
      <family val="1"/>
    </font>
    <font>
      <b/>
      <sz val="8"/>
      <name val="Times New Roman"/>
      <family val="1"/>
    </font>
    <font>
      <b/>
      <sz val="8"/>
      <color indexed="8"/>
      <name val="Times New Roman"/>
      <family val="1"/>
    </font>
    <font>
      <b/>
      <sz val="10"/>
      <color indexed="8"/>
      <name val="Arial"/>
      <family val="2"/>
    </font>
    <font>
      <sz val="10"/>
      <color indexed="8"/>
      <name val="Arial"/>
      <family val="2"/>
    </font>
    <font>
      <sz val="8"/>
      <color indexed="8"/>
      <name val="Arial"/>
      <family val="2"/>
    </font>
    <font>
      <b/>
      <i/>
      <sz val="10"/>
      <color indexed="8"/>
      <name val="Arial"/>
      <family val="2"/>
    </font>
    <font>
      <b/>
      <sz val="10"/>
      <color indexed="8"/>
      <name val="Arial"/>
      <family val="2"/>
    </font>
    <font>
      <b/>
      <sz val="8"/>
      <name val="Arial"/>
      <family val="2"/>
    </font>
    <font>
      <sz val="8"/>
      <name val="Arial"/>
      <family val="2"/>
    </font>
    <font>
      <b/>
      <sz val="8"/>
      <color indexed="8"/>
      <name val="Arial"/>
      <family val="2"/>
    </font>
    <font>
      <b/>
      <i/>
      <sz val="12"/>
      <name val="Arial"/>
      <family val="2"/>
    </font>
    <font>
      <b/>
      <sz val="12"/>
      <name val="Arial"/>
      <family val="2"/>
    </font>
    <font>
      <b/>
      <sz val="12"/>
      <name val="Arial"/>
      <family val="2"/>
    </font>
    <font>
      <sz val="10"/>
      <color indexed="10"/>
      <name val="Arial"/>
      <family val="2"/>
    </font>
    <font>
      <b/>
      <sz val="10"/>
      <color indexed="10"/>
      <name val="Arial"/>
      <family val="2"/>
    </font>
    <font>
      <b/>
      <sz val="9"/>
      <color indexed="8"/>
      <name val="Arial"/>
      <family val="2"/>
    </font>
    <font>
      <sz val="10"/>
      <color indexed="12"/>
      <name val="Arial"/>
      <family val="2"/>
    </font>
    <font>
      <b/>
      <sz val="10"/>
      <color indexed="12"/>
      <name val="Arial"/>
      <family val="2"/>
    </font>
    <font>
      <b/>
      <sz val="10"/>
      <color indexed="48"/>
      <name val="Arial"/>
      <family val="2"/>
    </font>
    <font>
      <i/>
      <sz val="10"/>
      <name val="Arial"/>
      <family val="2"/>
    </font>
    <font>
      <b/>
      <sz val="10"/>
      <color indexed="50"/>
      <name val="Arial"/>
      <family val="2"/>
    </font>
    <font>
      <sz val="10"/>
      <color indexed="10"/>
      <name val="Arial"/>
      <family val="2"/>
    </font>
    <font>
      <b/>
      <sz val="10"/>
      <color indexed="56"/>
      <name val="Arial"/>
      <family val="2"/>
    </font>
    <font>
      <b/>
      <sz val="10"/>
      <color indexed="59"/>
      <name val="Arial"/>
      <family val="2"/>
    </font>
    <font>
      <sz val="9"/>
      <color indexed="81"/>
      <name val="Tahoma"/>
      <family val="2"/>
    </font>
    <font>
      <b/>
      <sz val="9"/>
      <color indexed="81"/>
      <name val="Tahoma"/>
      <family val="2"/>
    </font>
    <font>
      <b/>
      <sz val="14"/>
      <name val="Arial"/>
      <family val="2"/>
    </font>
    <font>
      <sz val="14"/>
      <name val="Arial"/>
      <family val="2"/>
    </font>
    <font>
      <b/>
      <u/>
      <sz val="12"/>
      <name val="Arial"/>
      <family val="2"/>
    </font>
    <font>
      <u/>
      <sz val="10"/>
      <name val="Arial"/>
      <family val="2"/>
    </font>
    <font>
      <sz val="10"/>
      <name val="Arial"/>
      <family val="2"/>
    </font>
    <font>
      <b/>
      <sz val="11"/>
      <color theme="1"/>
      <name val="Calibri"/>
      <family val="2"/>
      <scheme val="minor"/>
    </font>
    <font>
      <b/>
      <sz val="10"/>
      <color theme="3"/>
      <name val="Arial"/>
      <family val="2"/>
    </font>
    <font>
      <b/>
      <sz val="10"/>
      <color theme="1"/>
      <name val="Arial"/>
      <family val="2"/>
    </font>
    <font>
      <sz val="10"/>
      <color theme="1"/>
      <name val="Arial"/>
      <family val="2"/>
    </font>
    <font>
      <sz val="10"/>
      <color theme="3"/>
      <name val="Arial"/>
      <family val="2"/>
    </font>
    <font>
      <b/>
      <sz val="10"/>
      <color theme="4"/>
      <name val="Arial"/>
      <family val="2"/>
    </font>
    <font>
      <sz val="10"/>
      <color theme="4" tint="-0.249977111117893"/>
      <name val="Arial"/>
      <family val="2"/>
    </font>
    <font>
      <b/>
      <sz val="10"/>
      <color theme="4" tint="-0.249977111117893"/>
      <name val="Arial"/>
      <family val="2"/>
    </font>
    <font>
      <sz val="10"/>
      <color rgb="FFC00000"/>
      <name val="Arial"/>
      <family val="2"/>
    </font>
    <font>
      <b/>
      <sz val="10"/>
      <color rgb="FFC00000"/>
      <name val="Arial"/>
      <family val="2"/>
    </font>
    <font>
      <sz val="8"/>
      <color theme="3"/>
      <name val="Times New Roman"/>
      <family val="1"/>
    </font>
    <font>
      <b/>
      <sz val="10"/>
      <color theme="4" tint="-0.249977111117893"/>
      <name val="Times New Roman"/>
      <family val="1"/>
    </font>
    <font>
      <sz val="10"/>
      <color theme="3"/>
      <name val="Times New Roman"/>
      <family val="1"/>
    </font>
    <font>
      <sz val="10"/>
      <color rgb="FFFF0000"/>
      <name val="Arial"/>
      <family val="2"/>
    </font>
    <font>
      <sz val="10"/>
      <color rgb="FF00B050"/>
      <name val="Arial"/>
      <family val="2"/>
    </font>
    <font>
      <b/>
      <sz val="10"/>
      <color rgb="FF00B050"/>
      <name val="Arial"/>
      <family val="2"/>
    </font>
    <font>
      <b/>
      <sz val="8"/>
      <color theme="3"/>
      <name val="Times New Roman"/>
      <family val="1"/>
    </font>
    <font>
      <b/>
      <sz val="10"/>
      <color theme="3"/>
      <name val="Times New Roman"/>
      <family val="1"/>
    </font>
    <font>
      <b/>
      <sz val="8"/>
      <color theme="4" tint="-0.249977111117893"/>
      <name val="Times New Roman"/>
      <family val="1"/>
    </font>
    <font>
      <sz val="10"/>
      <color rgb="FFC00000"/>
      <name val="Times New Roman"/>
      <family val="1"/>
    </font>
    <font>
      <sz val="24"/>
      <color rgb="FFC00000"/>
      <name val="Arial"/>
      <family val="2"/>
    </font>
    <font>
      <b/>
      <sz val="10"/>
      <color rgb="FFFF0000"/>
      <name val="Arial"/>
      <family val="2"/>
    </font>
    <font>
      <sz val="8"/>
      <color rgb="FFFF0000"/>
      <name val="Times New Roman"/>
      <family val="1"/>
    </font>
    <font>
      <sz val="10"/>
      <color rgb="FFFF0000"/>
      <name val="Times New Roman"/>
      <family val="1"/>
    </font>
    <font>
      <b/>
      <sz val="8"/>
      <color rgb="FFFF0000"/>
      <name val="Times New Roman"/>
      <family val="1"/>
    </font>
    <font>
      <b/>
      <sz val="10"/>
      <color rgb="FFFF0000"/>
      <name val="Times New Roman"/>
      <family val="1"/>
    </font>
    <font>
      <sz val="9"/>
      <color indexed="81"/>
      <name val="Tahoma"/>
      <charset val="1"/>
    </font>
    <font>
      <b/>
      <sz val="9"/>
      <color indexed="81"/>
      <name val="Tahoma"/>
      <charset val="1"/>
    </font>
    <font>
      <b/>
      <sz val="10"/>
      <color theme="8" tint="-0.249977111117893"/>
      <name val="Arial"/>
      <family val="2"/>
    </font>
    <font>
      <b/>
      <sz val="10"/>
      <name val="MS Sans Serif"/>
      <family val="2"/>
    </font>
    <font>
      <sz val="10"/>
      <name val="MS Sans Serif"/>
      <family val="2"/>
    </font>
  </fonts>
  <fills count="2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s>
  <borders count="75">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double">
        <color indexed="64"/>
      </bottom>
      <diagonal/>
    </border>
    <border>
      <left style="double">
        <color indexed="64"/>
      </left>
      <right style="medium">
        <color indexed="64"/>
      </right>
      <top style="double">
        <color indexed="64"/>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thick">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diagonal/>
    </border>
    <border>
      <left/>
      <right style="thin">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5">
    <xf numFmtId="0" fontId="0" fillId="0" borderId="0"/>
    <xf numFmtId="179"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cellStyleXfs>
  <cellXfs count="1269">
    <xf numFmtId="0" fontId="0" fillId="0" borderId="0" xfId="0"/>
    <xf numFmtId="0" fontId="1" fillId="0" borderId="1" xfId="0" applyFont="1" applyBorder="1" applyAlignment="1">
      <alignment horizontal="center"/>
    </xf>
    <xf numFmtId="0" fontId="2" fillId="0" borderId="0" xfId="0" applyFont="1"/>
    <xf numFmtId="0" fontId="0" fillId="0" borderId="1" xfId="0" applyBorder="1"/>
    <xf numFmtId="0" fontId="0" fillId="0" borderId="1" xfId="0" applyBorder="1" applyAlignment="1">
      <alignment horizontal="center"/>
    </xf>
    <xf numFmtId="0" fontId="1" fillId="0" borderId="1" xfId="0" applyFont="1" applyBorder="1"/>
    <xf numFmtId="0" fontId="0" fillId="0" borderId="1" xfId="0" applyBorder="1" applyAlignment="1">
      <alignment horizontal="left"/>
    </xf>
    <xf numFmtId="0" fontId="1" fillId="0" borderId="0" xfId="0" applyFont="1"/>
    <xf numFmtId="0" fontId="0" fillId="0" borderId="2" xfId="0" applyBorder="1"/>
    <xf numFmtId="0" fontId="1" fillId="0" borderId="3" xfId="0" applyFont="1" applyBorder="1"/>
    <xf numFmtId="0" fontId="1" fillId="0" borderId="4" xfId="0" applyFont="1" applyBorder="1"/>
    <xf numFmtId="0" fontId="4"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0" fillId="0" borderId="5" xfId="0" applyBorder="1"/>
    <xf numFmtId="2" fontId="0" fillId="0" borderId="6" xfId="0" applyNumberFormat="1" applyBorder="1" applyAlignment="1">
      <alignment horizontal="center"/>
    </xf>
    <xf numFmtId="0" fontId="0" fillId="0" borderId="7" xfId="0" applyBorder="1" applyAlignment="1">
      <alignment horizontal="center"/>
    </xf>
    <xf numFmtId="0" fontId="0" fillId="0" borderId="2" xfId="0" applyBorder="1" applyAlignment="1">
      <alignment horizontal="center"/>
    </xf>
    <xf numFmtId="166" fontId="0" fillId="0" borderId="1" xfId="0" applyNumberFormat="1" applyBorder="1" applyAlignment="1">
      <alignment horizontal="center"/>
    </xf>
    <xf numFmtId="2" fontId="0" fillId="0" borderId="1" xfId="0" applyNumberFormat="1" applyBorder="1" applyAlignment="1">
      <alignment horizontal="center"/>
    </xf>
    <xf numFmtId="0" fontId="0" fillId="0" borderId="3" xfId="0" applyBorder="1" applyAlignment="1">
      <alignment horizontal="center"/>
    </xf>
    <xf numFmtId="0" fontId="1" fillId="0" borderId="3" xfId="0" applyFont="1" applyBorder="1" applyAlignment="1">
      <alignment horizontal="center"/>
    </xf>
    <xf numFmtId="166" fontId="1" fillId="0" borderId="3" xfId="0" applyNumberFormat="1" applyFont="1" applyBorder="1" applyAlignment="1">
      <alignment horizontal="center"/>
    </xf>
    <xf numFmtId="2" fontId="1" fillId="0" borderId="3" xfId="0" applyNumberFormat="1" applyFont="1" applyBorder="1" applyAlignment="1">
      <alignment horizontal="center"/>
    </xf>
    <xf numFmtId="0" fontId="0" fillId="0" borderId="5" xfId="0" applyBorder="1" applyAlignment="1">
      <alignment horizontal="center"/>
    </xf>
    <xf numFmtId="166" fontId="0" fillId="0" borderId="5" xfId="0" applyNumberFormat="1" applyBorder="1" applyAlignment="1">
      <alignment horizontal="center"/>
    </xf>
    <xf numFmtId="2" fontId="0" fillId="0" borderId="5" xfId="0" applyNumberFormat="1" applyBorder="1" applyAlignment="1">
      <alignment horizontal="center"/>
    </xf>
    <xf numFmtId="0" fontId="0" fillId="0" borderId="4" xfId="0" applyBorder="1" applyAlignment="1">
      <alignment horizontal="center"/>
    </xf>
    <xf numFmtId="2" fontId="1" fillId="0" borderId="4" xfId="0" applyNumberFormat="1" applyFont="1" applyBorder="1" applyAlignment="1">
      <alignment horizontal="center"/>
    </xf>
    <xf numFmtId="166" fontId="1" fillId="0" borderId="1" xfId="0" applyNumberFormat="1" applyFont="1" applyBorder="1" applyAlignment="1">
      <alignment horizontal="center"/>
    </xf>
    <xf numFmtId="2" fontId="1" fillId="0" borderId="1" xfId="0" applyNumberFormat="1" applyFont="1" applyBorder="1" applyAlignment="1">
      <alignment horizontal="center"/>
    </xf>
    <xf numFmtId="0" fontId="0" fillId="0" borderId="8" xfId="0" applyBorder="1"/>
    <xf numFmtId="0" fontId="1" fillId="0" borderId="9" xfId="0" applyFont="1" applyBorder="1"/>
    <xf numFmtId="0" fontId="1" fillId="0" borderId="10" xfId="0" applyFont="1" applyBorder="1"/>
    <xf numFmtId="167" fontId="1" fillId="0" borderId="4" xfId="2" applyNumberFormat="1" applyFont="1" applyBorder="1" applyAlignment="1">
      <alignment horizontal="center"/>
    </xf>
    <xf numFmtId="167" fontId="1" fillId="0" borderId="3" xfId="2" applyNumberFormat="1" applyFont="1" applyBorder="1" applyAlignment="1">
      <alignment horizontal="center"/>
    </xf>
    <xf numFmtId="167" fontId="0" fillId="0" borderId="1" xfId="2" applyNumberFormat="1" applyFont="1" applyBorder="1" applyAlignment="1">
      <alignment horizontal="center"/>
    </xf>
    <xf numFmtId="167" fontId="0" fillId="0" borderId="6" xfId="2" applyNumberFormat="1" applyFont="1" applyBorder="1" applyAlignment="1">
      <alignment horizontal="center"/>
    </xf>
    <xf numFmtId="0" fontId="7" fillId="0" borderId="11" xfId="0" applyFont="1" applyBorder="1"/>
    <xf numFmtId="0" fontId="7" fillId="0" borderId="12" xfId="0" applyFont="1" applyBorder="1" applyAlignment="1">
      <alignment horizontal="center"/>
    </xf>
    <xf numFmtId="0" fontId="7" fillId="0" borderId="13" xfId="0" applyFont="1" applyBorder="1"/>
    <xf numFmtId="0" fontId="7" fillId="0" borderId="14" xfId="0" applyFont="1" applyBorder="1"/>
    <xf numFmtId="0" fontId="7" fillId="0" borderId="0" xfId="0" applyFont="1" applyBorder="1" applyAlignment="1">
      <alignment horizontal="center"/>
    </xf>
    <xf numFmtId="166" fontId="7" fillId="0" borderId="0" xfId="0" applyNumberFormat="1" applyFont="1" applyBorder="1" applyAlignment="1">
      <alignment horizontal="center"/>
    </xf>
    <xf numFmtId="0" fontId="7" fillId="0" borderId="8" xfId="0" applyFont="1" applyBorder="1" applyAlignment="1">
      <alignment horizontal="right"/>
    </xf>
    <xf numFmtId="0" fontId="7" fillId="0" borderId="15" xfId="0" applyFont="1" applyBorder="1"/>
    <xf numFmtId="0" fontId="7" fillId="0" borderId="16" xfId="0" applyFont="1" applyBorder="1"/>
    <xf numFmtId="0" fontId="7" fillId="0" borderId="17" xfId="0" applyFont="1" applyBorder="1"/>
    <xf numFmtId="167" fontId="0" fillId="0" borderId="3" xfId="2" applyNumberFormat="1" applyFont="1" applyBorder="1" applyAlignment="1">
      <alignment horizontal="center"/>
    </xf>
    <xf numFmtId="167" fontId="0" fillId="0" borderId="5" xfId="2" applyNumberFormat="1" applyFont="1" applyBorder="1" applyAlignment="1">
      <alignment horizontal="center"/>
    </xf>
    <xf numFmtId="167" fontId="0" fillId="0" borderId="4" xfId="2" applyNumberFormat="1" applyFont="1" applyBorder="1" applyAlignment="1">
      <alignment horizontal="center"/>
    </xf>
    <xf numFmtId="167" fontId="1" fillId="0" borderId="1" xfId="2" applyNumberFormat="1" applyFont="1" applyBorder="1" applyAlignment="1">
      <alignment horizontal="center"/>
    </xf>
    <xf numFmtId="0" fontId="4" fillId="0" borderId="0" xfId="0" applyFont="1"/>
    <xf numFmtId="0" fontId="7" fillId="0" borderId="0" xfId="0" applyFont="1"/>
    <xf numFmtId="14" fontId="7" fillId="0" borderId="0" xfId="0" applyNumberFormat="1" applyFont="1"/>
    <xf numFmtId="2" fontId="7" fillId="0" borderId="0" xfId="0" applyNumberFormat="1" applyFont="1"/>
    <xf numFmtId="0" fontId="7" fillId="2" borderId="2" xfId="0" applyFont="1" applyFill="1" applyBorder="1" applyAlignment="1">
      <alignment horizontal="center"/>
    </xf>
    <xf numFmtId="0" fontId="9" fillId="0" borderId="2" xfId="0" applyFont="1" applyBorder="1"/>
    <xf numFmtId="0" fontId="9" fillId="0" borderId="2" xfId="0" applyFont="1" applyBorder="1" applyAlignment="1">
      <alignment horizontal="center"/>
    </xf>
    <xf numFmtId="1" fontId="0" fillId="0" borderId="2" xfId="0" applyNumberFormat="1" applyBorder="1" applyAlignment="1">
      <alignment horizontal="center"/>
    </xf>
    <xf numFmtId="0" fontId="7" fillId="2" borderId="2" xfId="0" applyFont="1" applyFill="1" applyBorder="1"/>
    <xf numFmtId="1" fontId="9" fillId="0" borderId="2" xfId="0" applyNumberFormat="1" applyFont="1" applyBorder="1" applyAlignment="1">
      <alignment horizontal="center"/>
    </xf>
    <xf numFmtId="0" fontId="7" fillId="0" borderId="2" xfId="0" applyFont="1" applyBorder="1"/>
    <xf numFmtId="0" fontId="9" fillId="0" borderId="2" xfId="0" applyFont="1" applyBorder="1" applyAlignment="1">
      <alignment horizontal="left"/>
    </xf>
    <xf numFmtId="0" fontId="1" fillId="0" borderId="18" xfId="0" applyFont="1" applyBorder="1"/>
    <xf numFmtId="0" fontId="0" fillId="0" borderId="18" xfId="0" applyBorder="1"/>
    <xf numFmtId="0" fontId="9" fillId="0" borderId="1" xfId="0" applyFont="1" applyBorder="1"/>
    <xf numFmtId="0" fontId="9" fillId="0" borderId="1" xfId="0" applyFont="1" applyBorder="1" applyAlignment="1">
      <alignment horizontal="center"/>
    </xf>
    <xf numFmtId="167" fontId="9" fillId="0" borderId="1" xfId="2" applyNumberFormat="1" applyFont="1" applyBorder="1"/>
    <xf numFmtId="166" fontId="9" fillId="0" borderId="1" xfId="0" applyNumberFormat="1" applyFont="1" applyBorder="1"/>
    <xf numFmtId="2" fontId="9" fillId="0" borderId="1" xfId="0" applyNumberFormat="1" applyFont="1" applyBorder="1"/>
    <xf numFmtId="0" fontId="7" fillId="0" borderId="1" xfId="0" applyFont="1" applyBorder="1" applyAlignment="1">
      <alignment horizontal="left"/>
    </xf>
    <xf numFmtId="0" fontId="7" fillId="0" borderId="1" xfId="0" applyFont="1" applyBorder="1"/>
    <xf numFmtId="167" fontId="7" fillId="0" borderId="1" xfId="2" applyNumberFormat="1" applyFont="1" applyBorder="1"/>
    <xf numFmtId="166" fontId="7" fillId="0" borderId="1" xfId="0" applyNumberFormat="1" applyFont="1" applyBorder="1"/>
    <xf numFmtId="2" fontId="7" fillId="0" borderId="1" xfId="0" applyNumberFormat="1" applyFont="1" applyBorder="1"/>
    <xf numFmtId="0" fontId="7" fillId="0" borderId="3" xfId="0" applyFont="1" applyBorder="1"/>
    <xf numFmtId="167" fontId="7" fillId="0" borderId="3" xfId="2" applyNumberFormat="1" applyFont="1" applyBorder="1"/>
    <xf numFmtId="166" fontId="7" fillId="0" borderId="3" xfId="0" applyNumberFormat="1" applyFont="1" applyBorder="1"/>
    <xf numFmtId="2" fontId="7" fillId="0" borderId="3" xfId="0" applyNumberFormat="1" applyFont="1" applyBorder="1"/>
    <xf numFmtId="1" fontId="9" fillId="0" borderId="1" xfId="0" applyNumberFormat="1" applyFont="1" applyBorder="1"/>
    <xf numFmtId="0" fontId="7" fillId="0" borderId="0" xfId="0" applyFont="1" applyBorder="1"/>
    <xf numFmtId="167" fontId="7" fillId="0" borderId="0" xfId="2" applyNumberFormat="1" applyFont="1" applyBorder="1"/>
    <xf numFmtId="166" fontId="9" fillId="0" borderId="19" xfId="0" applyNumberFormat="1" applyFont="1" applyBorder="1"/>
    <xf numFmtId="0" fontId="7" fillId="0" borderId="4" xfId="0" applyFont="1" applyBorder="1"/>
    <xf numFmtId="167" fontId="7" fillId="0" borderId="4" xfId="2" applyNumberFormat="1" applyFont="1" applyBorder="1"/>
    <xf numFmtId="2" fontId="7" fillId="0" borderId="4" xfId="0" applyNumberFormat="1" applyFont="1" applyBorder="1"/>
    <xf numFmtId="0" fontId="9" fillId="0" borderId="0" xfId="0" applyFont="1"/>
    <xf numFmtId="0" fontId="5" fillId="0" borderId="2" xfId="0" applyFont="1" applyBorder="1"/>
    <xf numFmtId="167" fontId="0" fillId="0" borderId="2" xfId="2" applyNumberFormat="1" applyFont="1" applyBorder="1" applyAlignment="1">
      <alignment horizontal="center"/>
    </xf>
    <xf numFmtId="43" fontId="0" fillId="0" borderId="2" xfId="2" applyNumberFormat="1" applyFont="1" applyBorder="1" applyAlignment="1">
      <alignment horizontal="center"/>
    </xf>
    <xf numFmtId="2" fontId="0" fillId="0" borderId="2" xfId="0" applyNumberFormat="1" applyBorder="1" applyAlignment="1">
      <alignment horizontal="center"/>
    </xf>
    <xf numFmtId="0" fontId="7" fillId="0" borderId="20" xfId="0" applyFont="1" applyBorder="1"/>
    <xf numFmtId="0" fontId="7" fillId="0" borderId="21" xfId="0" applyFont="1" applyBorder="1"/>
    <xf numFmtId="0" fontId="12" fillId="0" borderId="0" xfId="0" applyFont="1"/>
    <xf numFmtId="166" fontId="0" fillId="0" borderId="1" xfId="0" applyNumberFormat="1" applyBorder="1"/>
    <xf numFmtId="2" fontId="0" fillId="0" borderId="1" xfId="0" applyNumberFormat="1" applyBorder="1"/>
    <xf numFmtId="0" fontId="0" fillId="0" borderId="3" xfId="0" applyBorder="1"/>
    <xf numFmtId="166" fontId="0" fillId="0" borderId="3" xfId="0" applyNumberFormat="1" applyBorder="1"/>
    <xf numFmtId="2" fontId="0" fillId="0" borderId="3" xfId="0" applyNumberFormat="1" applyBorder="1"/>
    <xf numFmtId="0" fontId="0" fillId="0" borderId="4" xfId="0" applyBorder="1"/>
    <xf numFmtId="0" fontId="1" fillId="0" borderId="22" xfId="0" applyFont="1" applyBorder="1"/>
    <xf numFmtId="0" fontId="1" fillId="0" borderId="23" xfId="0" applyFont="1" applyBorder="1"/>
    <xf numFmtId="1" fontId="1" fillId="0" borderId="3" xfId="0" applyNumberFormat="1" applyFont="1" applyBorder="1"/>
    <xf numFmtId="2" fontId="0" fillId="0" borderId="18" xfId="0" applyNumberFormat="1" applyBorder="1"/>
    <xf numFmtId="167" fontId="1" fillId="0" borderId="4" xfId="2" applyNumberFormat="1" applyFont="1" applyBorder="1"/>
    <xf numFmtId="0" fontId="0" fillId="0" borderId="9" xfId="0" applyBorder="1"/>
    <xf numFmtId="167" fontId="9" fillId="0" borderId="9" xfId="2" applyNumberFormat="1" applyFont="1" applyBorder="1"/>
    <xf numFmtId="167" fontId="0" fillId="0" borderId="1" xfId="2" applyNumberFormat="1" applyFont="1" applyBorder="1"/>
    <xf numFmtId="167" fontId="7" fillId="0" borderId="0" xfId="0" applyNumberFormat="1" applyFont="1" applyAlignment="1">
      <alignment horizontal="left"/>
    </xf>
    <xf numFmtId="0" fontId="1" fillId="0" borderId="8" xfId="0" applyFont="1" applyBorder="1"/>
    <xf numFmtId="0" fontId="0" fillId="0" borderId="24" xfId="0" applyBorder="1" applyAlignment="1">
      <alignment horizontal="center"/>
    </xf>
    <xf numFmtId="0" fontId="1" fillId="0" borderId="25" xfId="0" applyFont="1" applyBorder="1"/>
    <xf numFmtId="0" fontId="13" fillId="0" borderId="2" xfId="0" applyFont="1" applyBorder="1" applyAlignment="1">
      <alignment horizontal="center"/>
    </xf>
    <xf numFmtId="2" fontId="0" fillId="0" borderId="3" xfId="0" applyNumberFormat="1" applyBorder="1" applyAlignment="1">
      <alignment horizontal="center"/>
    </xf>
    <xf numFmtId="0" fontId="1" fillId="0" borderId="26" xfId="0" applyFont="1" applyBorder="1"/>
    <xf numFmtId="0" fontId="13" fillId="0" borderId="27" xfId="0" applyFont="1" applyBorder="1" applyAlignment="1">
      <alignment horizontal="center"/>
    </xf>
    <xf numFmtId="0" fontId="1" fillId="0" borderId="28" xfId="0" applyFont="1" applyBorder="1"/>
    <xf numFmtId="0" fontId="13" fillId="0" borderId="29" xfId="0" applyFont="1" applyBorder="1" applyAlignment="1">
      <alignment horizontal="center"/>
    </xf>
    <xf numFmtId="9" fontId="0" fillId="0" borderId="30" xfId="0" applyNumberFormat="1" applyBorder="1" applyAlignment="1">
      <alignment horizontal="center"/>
    </xf>
    <xf numFmtId="0" fontId="1" fillId="0" borderId="31" xfId="0" applyFont="1" applyBorder="1"/>
    <xf numFmtId="0" fontId="13" fillId="0" borderId="31" xfId="0" applyFont="1" applyBorder="1" applyAlignment="1">
      <alignment horizontal="center"/>
    </xf>
    <xf numFmtId="167" fontId="0" fillId="0" borderId="31" xfId="2" applyNumberFormat="1" applyFont="1" applyBorder="1" applyAlignment="1">
      <alignment horizontal="center"/>
    </xf>
    <xf numFmtId="0" fontId="1" fillId="0" borderId="0" xfId="0" applyFont="1" applyBorder="1"/>
    <xf numFmtId="165" fontId="0" fillId="0" borderId="0" xfId="3" applyFont="1" applyBorder="1"/>
    <xf numFmtId="9" fontId="0" fillId="0" borderId="0" xfId="0" applyNumberFormat="1" applyBorder="1"/>
    <xf numFmtId="2" fontId="7" fillId="0" borderId="12" xfId="0" applyNumberFormat="1" applyFont="1" applyBorder="1" applyAlignment="1">
      <alignment horizontal="center"/>
    </xf>
    <xf numFmtId="0" fontId="6" fillId="0" borderId="32" xfId="0" applyFont="1" applyBorder="1"/>
    <xf numFmtId="0" fontId="6" fillId="0" borderId="21" xfId="0" applyFont="1" applyBorder="1"/>
    <xf numFmtId="0" fontId="6" fillId="0" borderId="33" xfId="0" applyFont="1" applyBorder="1"/>
    <xf numFmtId="166" fontId="6" fillId="0" borderId="34" xfId="0" applyNumberFormat="1" applyFont="1" applyBorder="1" applyAlignment="1">
      <alignment horizontal="center"/>
    </xf>
    <xf numFmtId="0" fontId="6" fillId="0" borderId="20" xfId="0" applyFont="1" applyBorder="1"/>
    <xf numFmtId="2" fontId="6" fillId="0" borderId="35" xfId="0" applyNumberFormat="1" applyFont="1" applyBorder="1" applyAlignment="1">
      <alignment horizontal="center"/>
    </xf>
    <xf numFmtId="169" fontId="14" fillId="0" borderId="0" xfId="0" applyNumberFormat="1" applyFont="1" applyFill="1" applyAlignment="1" applyProtection="1">
      <alignment horizontal="left"/>
    </xf>
    <xf numFmtId="0" fontId="15" fillId="0" borderId="0" xfId="0" applyFont="1"/>
    <xf numFmtId="0" fontId="16" fillId="0" borderId="11" xfId="0" applyFont="1" applyBorder="1" applyAlignment="1">
      <alignment horizontal="right"/>
    </xf>
    <xf numFmtId="167" fontId="16" fillId="0" borderId="12" xfId="2" applyNumberFormat="1" applyFont="1" applyBorder="1" applyAlignment="1">
      <alignment horizontal="right"/>
    </xf>
    <xf numFmtId="0" fontId="12" fillId="0" borderId="13" xfId="0" applyFont="1" applyBorder="1"/>
    <xf numFmtId="0" fontId="14" fillId="0" borderId="0" xfId="0" applyFont="1" applyFill="1" applyAlignment="1" applyProtection="1">
      <alignment horizontal="left"/>
    </xf>
    <xf numFmtId="0" fontId="16" fillId="0" borderId="16" xfId="0" applyFont="1" applyBorder="1" applyAlignment="1">
      <alignment horizontal="right"/>
    </xf>
    <xf numFmtId="167" fontId="16" fillId="0" borderId="17" xfId="2" applyNumberFormat="1" applyFont="1" applyBorder="1" applyAlignment="1">
      <alignment horizontal="right"/>
    </xf>
    <xf numFmtId="0" fontId="12" fillId="0" borderId="14" xfId="0" applyFont="1" applyBorder="1"/>
    <xf numFmtId="169" fontId="14" fillId="0" borderId="8" xfId="0" applyNumberFormat="1" applyFont="1" applyFill="1" applyBorder="1" applyAlignment="1" applyProtection="1">
      <alignment horizontal="left"/>
    </xf>
    <xf numFmtId="0" fontId="19" fillId="0" borderId="0" xfId="0" applyFont="1" applyBorder="1"/>
    <xf numFmtId="0" fontId="15" fillId="0" borderId="0" xfId="0" applyFont="1" applyBorder="1"/>
    <xf numFmtId="169" fontId="20" fillId="0" borderId="0" xfId="0" applyNumberFormat="1" applyFont="1" applyFill="1" applyBorder="1" applyAlignment="1" applyProtection="1">
      <alignment horizontal="left"/>
    </xf>
    <xf numFmtId="0" fontId="15" fillId="0" borderId="15" xfId="0" applyFont="1" applyBorder="1"/>
    <xf numFmtId="169" fontId="21" fillId="0" borderId="8" xfId="0" applyNumberFormat="1" applyFont="1" applyFill="1" applyBorder="1" applyAlignment="1" applyProtection="1">
      <alignment horizontal="left"/>
    </xf>
    <xf numFmtId="169" fontId="21" fillId="0" borderId="0" xfId="0" applyNumberFormat="1" applyFont="1" applyFill="1" applyBorder="1" applyAlignment="1" applyProtection="1">
      <alignment horizontal="left"/>
    </xf>
    <xf numFmtId="170" fontId="19" fillId="0" borderId="0" xfId="0" applyNumberFormat="1" applyFont="1" applyBorder="1" applyProtection="1"/>
    <xf numFmtId="171" fontId="19" fillId="0" borderId="0" xfId="0" applyNumberFormat="1" applyFont="1" applyBorder="1" applyProtection="1"/>
    <xf numFmtId="171" fontId="19" fillId="0" borderId="15" xfId="0" applyNumberFormat="1" applyFont="1" applyBorder="1" applyProtection="1"/>
    <xf numFmtId="169" fontId="22" fillId="0" borderId="36" xfId="0" applyNumberFormat="1" applyFont="1" applyFill="1" applyBorder="1" applyAlignment="1" applyProtection="1">
      <alignment horizontal="left"/>
    </xf>
    <xf numFmtId="0" fontId="23" fillId="0" borderId="37" xfId="0" applyFont="1" applyBorder="1"/>
    <xf numFmtId="170" fontId="23" fillId="0" borderId="37" xfId="0" applyNumberFormat="1" applyFont="1" applyBorder="1" applyProtection="1"/>
    <xf numFmtId="0" fontId="19" fillId="0" borderId="8" xfId="0" applyFont="1" applyBorder="1"/>
    <xf numFmtId="0" fontId="21" fillId="0" borderId="0" xfId="0" applyFont="1" applyFill="1" applyBorder="1" applyAlignment="1">
      <alignment horizontal="left"/>
    </xf>
    <xf numFmtId="171" fontId="21" fillId="0" borderId="0" xfId="0" applyNumberFormat="1" applyFont="1" applyFill="1" applyBorder="1" applyAlignment="1" applyProtection="1">
      <alignment horizontal="left"/>
    </xf>
    <xf numFmtId="169" fontId="21" fillId="0" borderId="10" xfId="0" applyNumberFormat="1" applyFont="1" applyFill="1" applyBorder="1" applyAlignment="1" applyProtection="1">
      <alignment horizontal="left"/>
    </xf>
    <xf numFmtId="169" fontId="21" fillId="0" borderId="38" xfId="0" applyNumberFormat="1" applyFont="1" applyFill="1" applyBorder="1" applyAlignment="1" applyProtection="1">
      <alignment horizontal="left"/>
    </xf>
    <xf numFmtId="171" fontId="19" fillId="0" borderId="38" xfId="0" applyNumberFormat="1" applyFont="1" applyBorder="1" applyProtection="1"/>
    <xf numFmtId="170" fontId="19" fillId="0" borderId="38" xfId="0" applyNumberFormat="1" applyFont="1" applyBorder="1" applyProtection="1"/>
    <xf numFmtId="171" fontId="19" fillId="0" borderId="39" xfId="0" applyNumberFormat="1" applyFont="1" applyBorder="1" applyProtection="1"/>
    <xf numFmtId="170" fontId="21" fillId="0" borderId="0" xfId="0" applyNumberFormat="1" applyFont="1" applyFill="1" applyBorder="1" applyAlignment="1" applyProtection="1">
      <alignment horizontal="left"/>
    </xf>
    <xf numFmtId="169" fontId="14" fillId="0" borderId="36" xfId="0" applyNumberFormat="1" applyFont="1" applyFill="1" applyBorder="1" applyAlignment="1" applyProtection="1">
      <alignment horizontal="left"/>
    </xf>
    <xf numFmtId="169" fontId="14" fillId="0" borderId="37" xfId="0" applyNumberFormat="1" applyFont="1" applyFill="1" applyBorder="1" applyAlignment="1" applyProtection="1">
      <alignment horizontal="left"/>
    </xf>
    <xf numFmtId="171" fontId="14" fillId="0" borderId="37" xfId="0" applyNumberFormat="1" applyFont="1" applyFill="1" applyBorder="1" applyAlignment="1" applyProtection="1">
      <alignment horizontal="left"/>
    </xf>
    <xf numFmtId="172" fontId="24" fillId="0" borderId="37" xfId="2" applyNumberFormat="1" applyFont="1" applyBorder="1" applyProtection="1"/>
    <xf numFmtId="170" fontId="24" fillId="0" borderId="37" xfId="0" applyNumberFormat="1" applyFont="1" applyBorder="1" applyProtection="1"/>
    <xf numFmtId="172" fontId="19" fillId="0" borderId="0" xfId="2" applyNumberFormat="1" applyFont="1" applyBorder="1" applyProtection="1"/>
    <xf numFmtId="172" fontId="19" fillId="0" borderId="0" xfId="2" applyNumberFormat="1" applyFont="1" applyBorder="1"/>
    <xf numFmtId="0" fontId="21" fillId="0" borderId="35" xfId="0" applyFont="1" applyFill="1" applyBorder="1"/>
    <xf numFmtId="0" fontId="20" fillId="0" borderId="35" xfId="0" applyFont="1" applyFill="1" applyBorder="1"/>
    <xf numFmtId="169" fontId="20" fillId="0" borderId="35" xfId="0" applyNumberFormat="1" applyFont="1" applyFill="1" applyBorder="1" applyAlignment="1" applyProtection="1"/>
    <xf numFmtId="0" fontId="19" fillId="0" borderId="0" xfId="0" applyFont="1"/>
    <xf numFmtId="169" fontId="21" fillId="0" borderId="0" xfId="0" applyNumberFormat="1" applyFont="1" applyFill="1" applyBorder="1" applyAlignment="1" applyProtection="1">
      <alignment horizontal="center"/>
    </xf>
    <xf numFmtId="0" fontId="24" fillId="0" borderId="0" xfId="0" applyFont="1" applyAlignment="1" applyProtection="1">
      <alignment horizontal="left"/>
    </xf>
    <xf numFmtId="0" fontId="25" fillId="0" borderId="0" xfId="0" applyFont="1"/>
    <xf numFmtId="0" fontId="26" fillId="0" borderId="11" xfId="0" applyFont="1" applyBorder="1" applyAlignment="1">
      <alignment horizontal="right"/>
    </xf>
    <xf numFmtId="170" fontId="26" fillId="0" borderId="12" xfId="0" applyNumberFormat="1" applyFont="1" applyBorder="1" applyAlignment="1">
      <alignment horizontal="center"/>
    </xf>
    <xf numFmtId="0" fontId="26" fillId="0" borderId="13" xfId="0" applyFont="1" applyBorder="1" applyAlignment="1">
      <alignment horizontal="left"/>
    </xf>
    <xf numFmtId="0" fontId="19" fillId="0" borderId="14" xfId="0" applyFont="1" applyBorder="1"/>
    <xf numFmtId="0" fontId="26" fillId="0" borderId="16" xfId="0" applyFont="1" applyBorder="1" applyAlignment="1">
      <alignment horizontal="right"/>
    </xf>
    <xf numFmtId="171" fontId="26" fillId="0" borderId="17" xfId="0" applyNumberFormat="1" applyFont="1" applyBorder="1" applyAlignment="1">
      <alignment horizontal="center"/>
    </xf>
    <xf numFmtId="0" fontId="26" fillId="0" borderId="14" xfId="0" applyFont="1" applyBorder="1" applyAlignment="1">
      <alignment horizontal="left"/>
    </xf>
    <xf numFmtId="0" fontId="24" fillId="0" borderId="1" xfId="0" applyFont="1" applyBorder="1" applyAlignment="1" applyProtection="1">
      <alignment horizontal="center"/>
    </xf>
    <xf numFmtId="0" fontId="26" fillId="0" borderId="1" xfId="0" applyFont="1" applyBorder="1" applyAlignment="1" applyProtection="1">
      <alignment horizontal="left"/>
    </xf>
    <xf numFmtId="0" fontId="19" fillId="0" borderId="1" xfId="0" applyFont="1" applyBorder="1"/>
    <xf numFmtId="0" fontId="15" fillId="0" borderId="1" xfId="0" applyFont="1" applyBorder="1" applyAlignment="1" applyProtection="1">
      <alignment horizontal="left"/>
    </xf>
    <xf numFmtId="0" fontId="15" fillId="0" borderId="1" xfId="0" applyFont="1" applyBorder="1"/>
    <xf numFmtId="0" fontId="19" fillId="0" borderId="1" xfId="0" applyFont="1" applyBorder="1" applyAlignment="1" applyProtection="1">
      <alignment horizontal="left"/>
    </xf>
    <xf numFmtId="0" fontId="15" fillId="0" borderId="1" xfId="0" applyFont="1" applyBorder="1" applyAlignment="1" applyProtection="1">
      <alignment horizontal="center"/>
    </xf>
    <xf numFmtId="170" fontId="19" fillId="0" borderId="1" xfId="0" applyNumberFormat="1" applyFont="1" applyBorder="1" applyAlignment="1" applyProtection="1">
      <alignment horizontal="center"/>
    </xf>
    <xf numFmtId="167" fontId="19" fillId="0" borderId="1" xfId="2" applyNumberFormat="1" applyFont="1" applyBorder="1" applyAlignment="1" applyProtection="1">
      <alignment horizontal="center"/>
    </xf>
    <xf numFmtId="168" fontId="19" fillId="0" borderId="1" xfId="2" applyNumberFormat="1" applyFont="1" applyBorder="1" applyAlignment="1" applyProtection="1">
      <alignment horizontal="center"/>
    </xf>
    <xf numFmtId="0" fontId="26" fillId="0" borderId="3" xfId="0" applyFont="1" applyBorder="1" applyAlignment="1" applyProtection="1">
      <alignment horizontal="left"/>
    </xf>
    <xf numFmtId="0" fontId="15" fillId="0" borderId="3" xfId="0" applyFont="1" applyBorder="1" applyAlignment="1">
      <alignment horizontal="center"/>
    </xf>
    <xf numFmtId="170" fontId="19" fillId="0" borderId="3" xfId="0" applyNumberFormat="1" applyFont="1" applyBorder="1" applyAlignment="1" applyProtection="1">
      <alignment horizontal="center"/>
    </xf>
    <xf numFmtId="167" fontId="19" fillId="0" borderId="3" xfId="2" applyNumberFormat="1" applyFont="1" applyBorder="1" applyAlignment="1" applyProtection="1">
      <alignment horizontal="center"/>
    </xf>
    <xf numFmtId="167" fontId="24" fillId="0" borderId="3" xfId="2" applyNumberFormat="1" applyFont="1" applyBorder="1" applyAlignment="1" applyProtection="1">
      <alignment horizontal="center"/>
    </xf>
    <xf numFmtId="168" fontId="24" fillId="0" borderId="3" xfId="2" applyNumberFormat="1" applyFont="1" applyBorder="1" applyAlignment="1" applyProtection="1">
      <alignment horizontal="center"/>
    </xf>
    <xf numFmtId="0" fontId="15" fillId="0" borderId="1" xfId="0" applyFont="1" applyBorder="1" applyAlignment="1">
      <alignment horizontal="center"/>
    </xf>
    <xf numFmtId="0" fontId="19" fillId="0" borderId="1" xfId="0" applyFont="1" applyBorder="1" applyAlignment="1" applyProtection="1">
      <alignment horizontal="center"/>
    </xf>
    <xf numFmtId="0" fontId="26" fillId="0" borderId="3" xfId="0" applyFont="1" applyBorder="1" applyAlignment="1">
      <alignment horizontal="center"/>
    </xf>
    <xf numFmtId="170" fontId="24" fillId="0" borderId="3" xfId="0" applyNumberFormat="1" applyFont="1" applyBorder="1" applyAlignment="1" applyProtection="1">
      <alignment horizontal="center"/>
    </xf>
    <xf numFmtId="0" fontId="19" fillId="0" borderId="1" xfId="0" applyFont="1" applyBorder="1" applyAlignment="1">
      <alignment horizontal="center"/>
    </xf>
    <xf numFmtId="168" fontId="19" fillId="0" borderId="1" xfId="2" applyNumberFormat="1" applyFont="1" applyBorder="1" applyAlignment="1">
      <alignment horizontal="center"/>
    </xf>
    <xf numFmtId="0" fontId="24" fillId="0" borderId="3" xfId="0" applyFont="1" applyBorder="1" applyAlignment="1">
      <alignment horizontal="center"/>
    </xf>
    <xf numFmtId="168" fontId="24" fillId="0" borderId="3" xfId="2" applyNumberFormat="1" applyFont="1" applyBorder="1" applyAlignment="1">
      <alignment horizontal="center"/>
    </xf>
    <xf numFmtId="167" fontId="19" fillId="0" borderId="1" xfId="2" applyNumberFormat="1" applyFont="1" applyBorder="1" applyAlignment="1">
      <alignment horizontal="center"/>
    </xf>
    <xf numFmtId="173" fontId="13" fillId="0" borderId="0" xfId="2" applyNumberFormat="1" applyFont="1" applyBorder="1" applyProtection="1"/>
    <xf numFmtId="0" fontId="26" fillId="0" borderId="40" xfId="0" applyFont="1" applyBorder="1" applyAlignment="1" applyProtection="1">
      <alignment horizontal="left"/>
    </xf>
    <xf numFmtId="0" fontId="26" fillId="0" borderId="40" xfId="0" applyFont="1" applyBorder="1" applyAlignment="1" applyProtection="1">
      <alignment horizontal="center"/>
    </xf>
    <xf numFmtId="0" fontId="24" fillId="0" borderId="40" xfId="0" applyFont="1" applyBorder="1" applyAlignment="1" applyProtection="1">
      <alignment horizontal="center"/>
    </xf>
    <xf numFmtId="168" fontId="24" fillId="0" borderId="40" xfId="2" applyNumberFormat="1" applyFont="1" applyBorder="1" applyAlignment="1" applyProtection="1">
      <alignment horizontal="center"/>
    </xf>
    <xf numFmtId="167" fontId="24" fillId="0" borderId="40" xfId="2" applyNumberFormat="1" applyFont="1" applyBorder="1" applyAlignment="1" applyProtection="1">
      <alignment horizontal="center"/>
    </xf>
    <xf numFmtId="0" fontId="26" fillId="0" borderId="1" xfId="0" applyFont="1" applyBorder="1" applyAlignment="1" applyProtection="1">
      <alignment horizontal="center"/>
    </xf>
    <xf numFmtId="168" fontId="24" fillId="0" borderId="1" xfId="2" applyNumberFormat="1" applyFont="1" applyBorder="1" applyAlignment="1" applyProtection="1">
      <alignment horizontal="center"/>
    </xf>
    <xf numFmtId="167" fontId="24" fillId="0" borderId="1" xfId="2" applyNumberFormat="1" applyFont="1" applyBorder="1" applyAlignment="1" applyProtection="1">
      <alignment horizontal="center"/>
    </xf>
    <xf numFmtId="0" fontId="26" fillId="0" borderId="3" xfId="0" applyFont="1" applyBorder="1" applyAlignment="1" applyProtection="1">
      <alignment horizontal="center"/>
    </xf>
    <xf numFmtId="0" fontId="24" fillId="0" borderId="3" xfId="0" applyFont="1" applyBorder="1" applyAlignment="1" applyProtection="1">
      <alignment horizontal="center"/>
    </xf>
    <xf numFmtId="0" fontId="14" fillId="0" borderId="35" xfId="0" applyFont="1" applyFill="1" applyBorder="1"/>
    <xf numFmtId="168" fontId="14" fillId="0" borderId="35" xfId="2" applyNumberFormat="1" applyFont="1" applyFill="1" applyBorder="1"/>
    <xf numFmtId="167" fontId="14" fillId="0" borderId="35" xfId="2" applyNumberFormat="1" applyFont="1" applyFill="1" applyBorder="1" applyAlignment="1" applyProtection="1"/>
    <xf numFmtId="0" fontId="19" fillId="0" borderId="0" xfId="0" applyFont="1" applyAlignment="1" applyProtection="1">
      <alignment horizontal="left"/>
    </xf>
    <xf numFmtId="169" fontId="21" fillId="0" borderId="2" xfId="0" applyNumberFormat="1" applyFont="1" applyFill="1" applyBorder="1" applyAlignment="1" applyProtection="1">
      <alignment horizontal="center"/>
    </xf>
    <xf numFmtId="0" fontId="0" fillId="0" borderId="34" xfId="0" applyBorder="1"/>
    <xf numFmtId="0" fontId="9" fillId="0" borderId="41" xfId="0" applyFont="1" applyBorder="1" applyAlignment="1">
      <alignment horizontal="center"/>
    </xf>
    <xf numFmtId="169" fontId="28" fillId="0" borderId="0" xfId="0" applyNumberFormat="1" applyFont="1" applyFill="1" applyAlignment="1" applyProtection="1">
      <alignment horizontal="left"/>
    </xf>
    <xf numFmtId="169" fontId="29" fillId="0" borderId="0" xfId="0" applyNumberFormat="1" applyFont="1" applyFill="1" applyAlignment="1" applyProtection="1">
      <alignment horizontal="left"/>
    </xf>
    <xf numFmtId="0" fontId="9" fillId="0" borderId="16" xfId="0" applyFont="1" applyBorder="1"/>
    <xf numFmtId="169" fontId="30" fillId="0" borderId="8" xfId="0" applyNumberFormat="1" applyFont="1" applyFill="1" applyBorder="1" applyAlignment="1" applyProtection="1">
      <alignment horizontal="center"/>
    </xf>
    <xf numFmtId="0" fontId="13" fillId="0" borderId="0" xfId="0" applyFont="1" applyBorder="1"/>
    <xf numFmtId="169" fontId="30" fillId="0" borderId="0" xfId="0" applyNumberFormat="1" applyFont="1" applyFill="1" applyBorder="1" applyAlignment="1" applyProtection="1">
      <alignment horizontal="left"/>
    </xf>
    <xf numFmtId="169" fontId="31" fillId="0" borderId="42" xfId="0" applyNumberFormat="1" applyFont="1" applyFill="1" applyBorder="1" applyAlignment="1" applyProtection="1">
      <alignment horizontal="left"/>
    </xf>
    <xf numFmtId="0" fontId="29" fillId="0" borderId="43" xfId="0" applyFont="1" applyFill="1" applyBorder="1"/>
    <xf numFmtId="169" fontId="29" fillId="0" borderId="43" xfId="0" applyNumberFormat="1" applyFont="1" applyFill="1" applyBorder="1" applyAlignment="1" applyProtection="1">
      <alignment horizontal="left"/>
    </xf>
    <xf numFmtId="0" fontId="29" fillId="0" borderId="44" xfId="0" applyFont="1" applyFill="1" applyBorder="1"/>
    <xf numFmtId="169" fontId="29" fillId="0" borderId="8" xfId="0" applyNumberFormat="1" applyFont="1" applyFill="1" applyBorder="1" applyAlignment="1" applyProtection="1">
      <alignment horizontal="left"/>
    </xf>
    <xf numFmtId="0" fontId="9" fillId="0" borderId="0" xfId="0" applyFont="1" applyBorder="1"/>
    <xf numFmtId="169" fontId="29" fillId="0" borderId="0" xfId="0" applyNumberFormat="1" applyFont="1" applyFill="1" applyBorder="1" applyAlignment="1" applyProtection="1">
      <alignment horizontal="left"/>
    </xf>
    <xf numFmtId="0" fontId="9" fillId="0" borderId="15" xfId="0" applyFont="1" applyBorder="1"/>
    <xf numFmtId="170" fontId="9" fillId="0" borderId="0" xfId="0" applyNumberFormat="1" applyFont="1" applyBorder="1" applyProtection="1"/>
    <xf numFmtId="171" fontId="9" fillId="0" borderId="0" xfId="0" applyNumberFormat="1" applyFont="1" applyBorder="1" applyProtection="1"/>
    <xf numFmtId="170" fontId="9" fillId="0" borderId="15" xfId="0" applyNumberFormat="1" applyFont="1" applyBorder="1" applyProtection="1"/>
    <xf numFmtId="169" fontId="31" fillId="0" borderId="36" xfId="0" applyNumberFormat="1" applyFont="1" applyFill="1" applyBorder="1" applyAlignment="1" applyProtection="1">
      <alignment horizontal="left"/>
    </xf>
    <xf numFmtId="0" fontId="29" fillId="0" borderId="37" xfId="0" applyFont="1" applyFill="1" applyBorder="1"/>
    <xf numFmtId="170" fontId="29" fillId="0" borderId="45" xfId="0" applyNumberFormat="1" applyFont="1" applyFill="1" applyBorder="1" applyProtection="1"/>
    <xf numFmtId="169" fontId="31" fillId="0" borderId="8" xfId="0" applyNumberFormat="1" applyFont="1" applyFill="1" applyBorder="1" applyAlignment="1" applyProtection="1">
      <alignment horizontal="left"/>
    </xf>
    <xf numFmtId="171" fontId="29" fillId="0" borderId="0" xfId="0" applyNumberFormat="1" applyFont="1" applyFill="1" applyBorder="1" applyAlignment="1" applyProtection="1">
      <alignment horizontal="left"/>
    </xf>
    <xf numFmtId="170" fontId="29" fillId="0" borderId="15" xfId="0" applyNumberFormat="1" applyFont="1" applyFill="1" applyBorder="1" applyAlignment="1" applyProtection="1">
      <alignment horizontal="left"/>
    </xf>
    <xf numFmtId="170" fontId="29" fillId="0" borderId="0" xfId="0" applyNumberFormat="1" applyFont="1" applyFill="1" applyBorder="1" applyAlignment="1" applyProtection="1">
      <alignment horizontal="left"/>
    </xf>
    <xf numFmtId="169" fontId="29" fillId="0" borderId="46" xfId="0" applyNumberFormat="1" applyFont="1" applyFill="1" applyBorder="1" applyAlignment="1" applyProtection="1">
      <alignment horizontal="left"/>
    </xf>
    <xf numFmtId="169" fontId="29" fillId="0" borderId="35" xfId="0" applyNumberFormat="1" applyFont="1" applyFill="1" applyBorder="1" applyAlignment="1" applyProtection="1">
      <alignment horizontal="left"/>
    </xf>
    <xf numFmtId="171" fontId="29" fillId="0" borderId="35" xfId="0" applyNumberFormat="1" applyFont="1" applyFill="1" applyBorder="1" applyProtection="1"/>
    <xf numFmtId="0" fontId="29" fillId="0" borderId="35" xfId="0" applyFont="1" applyFill="1" applyBorder="1"/>
    <xf numFmtId="170" fontId="29" fillId="0" borderId="47" xfId="0" applyNumberFormat="1" applyFont="1" applyFill="1" applyBorder="1" applyProtection="1"/>
    <xf numFmtId="169" fontId="29" fillId="0" borderId="8" xfId="0" applyNumberFormat="1" applyFont="1" applyFill="1" applyBorder="1" applyAlignment="1" applyProtection="1">
      <alignment horizontal="center"/>
    </xf>
    <xf numFmtId="0" fontId="29" fillId="0" borderId="0" xfId="0" applyFont="1" applyFill="1" applyBorder="1" applyAlignment="1">
      <alignment horizontal="left"/>
    </xf>
    <xf numFmtId="171" fontId="29" fillId="0" borderId="35" xfId="0" applyNumberFormat="1" applyFont="1" applyFill="1" applyBorder="1" applyAlignment="1" applyProtection="1">
      <alignment horizontal="left"/>
    </xf>
    <xf numFmtId="169" fontId="29" fillId="0" borderId="48" xfId="0" applyNumberFormat="1" applyFont="1" applyFill="1" applyBorder="1" applyAlignment="1" applyProtection="1">
      <alignment horizontal="left"/>
    </xf>
    <xf numFmtId="0" fontId="29" fillId="0" borderId="49" xfId="0" applyFont="1" applyFill="1" applyBorder="1"/>
    <xf numFmtId="171" fontId="29" fillId="0" borderId="49" xfId="0" applyNumberFormat="1" applyFont="1" applyFill="1" applyBorder="1" applyProtection="1"/>
    <xf numFmtId="169" fontId="29" fillId="0" borderId="15" xfId="0" applyNumberFormat="1" applyFont="1" applyFill="1" applyBorder="1" applyAlignment="1" applyProtection="1">
      <alignment horizontal="left"/>
    </xf>
    <xf numFmtId="169" fontId="31" fillId="0" borderId="11" xfId="0" applyNumberFormat="1" applyFont="1" applyFill="1" applyBorder="1" applyAlignment="1" applyProtection="1">
      <alignment horizontal="left"/>
    </xf>
    <xf numFmtId="0" fontId="9" fillId="0" borderId="12" xfId="0" applyFont="1" applyBorder="1"/>
    <xf numFmtId="170" fontId="29" fillId="0" borderId="13" xfId="0" applyNumberFormat="1" applyFont="1" applyFill="1" applyBorder="1" applyAlignment="1" applyProtection="1">
      <alignment horizontal="left"/>
    </xf>
    <xf numFmtId="169" fontId="29" fillId="0" borderId="36" xfId="0" applyNumberFormat="1" applyFont="1" applyFill="1" applyBorder="1" applyAlignment="1" applyProtection="1">
      <alignment horizontal="left"/>
    </xf>
    <xf numFmtId="169" fontId="29" fillId="0" borderId="37" xfId="0" applyNumberFormat="1" applyFont="1" applyFill="1" applyBorder="1" applyAlignment="1" applyProtection="1">
      <alignment horizontal="left"/>
    </xf>
    <xf numFmtId="0" fontId="29" fillId="0" borderId="0" xfId="0" applyFont="1" applyFill="1" applyBorder="1"/>
    <xf numFmtId="169" fontId="28" fillId="0" borderId="11" xfId="0" applyNumberFormat="1" applyFont="1" applyFill="1" applyBorder="1" applyAlignment="1" applyProtection="1">
      <alignment horizontal="left"/>
    </xf>
    <xf numFmtId="169" fontId="30" fillId="0" borderId="0" xfId="0" applyNumberFormat="1" applyFont="1" applyFill="1" applyAlignment="1" applyProtection="1">
      <alignment horizontal="left"/>
    </xf>
    <xf numFmtId="169" fontId="28" fillId="0" borderId="42" xfId="0" applyNumberFormat="1" applyFont="1" applyFill="1" applyBorder="1" applyAlignment="1" applyProtection="1">
      <alignment horizontal="left"/>
    </xf>
    <xf numFmtId="167" fontId="29" fillId="0" borderId="0" xfId="2" applyNumberFormat="1" applyFont="1" applyFill="1" applyBorder="1" applyAlignment="1" applyProtection="1">
      <alignment horizontal="left"/>
    </xf>
    <xf numFmtId="167" fontId="9" fillId="0" borderId="0" xfId="2" applyNumberFormat="1" applyFont="1" applyBorder="1" applyProtection="1"/>
    <xf numFmtId="169" fontId="9" fillId="0" borderId="15" xfId="0" applyNumberFormat="1" applyFont="1" applyBorder="1" applyProtection="1"/>
    <xf numFmtId="0" fontId="9" fillId="0" borderId="37" xfId="0" applyFont="1" applyBorder="1"/>
    <xf numFmtId="167" fontId="9" fillId="0" borderId="37" xfId="2" applyNumberFormat="1" applyFont="1" applyBorder="1" applyProtection="1"/>
    <xf numFmtId="169" fontId="9" fillId="0" borderId="45" xfId="0" applyNumberFormat="1" applyFont="1" applyBorder="1" applyProtection="1"/>
    <xf numFmtId="167" fontId="9" fillId="0" borderId="0" xfId="2" applyNumberFormat="1" applyFont="1" applyBorder="1"/>
    <xf numFmtId="170" fontId="9" fillId="0" borderId="0" xfId="0" applyNumberFormat="1" applyFont="1" applyBorder="1"/>
    <xf numFmtId="169" fontId="29" fillId="0" borderId="16" xfId="0" applyNumberFormat="1" applyFont="1" applyFill="1" applyBorder="1" applyAlignment="1" applyProtection="1">
      <alignment horizontal="left"/>
    </xf>
    <xf numFmtId="169" fontId="29" fillId="0" borderId="17" xfId="0" applyNumberFormat="1" applyFont="1" applyFill="1" applyBorder="1" applyAlignment="1" applyProtection="1">
      <alignment horizontal="left"/>
    </xf>
    <xf numFmtId="170" fontId="9" fillId="0" borderId="17" xfId="0" applyNumberFormat="1" applyFont="1" applyBorder="1" applyProtection="1"/>
    <xf numFmtId="167" fontId="9" fillId="0" borderId="17" xfId="2" applyNumberFormat="1" applyFont="1" applyBorder="1" applyProtection="1"/>
    <xf numFmtId="169" fontId="9" fillId="0" borderId="14" xfId="0" applyNumberFormat="1" applyFont="1" applyBorder="1" applyProtection="1"/>
    <xf numFmtId="167" fontId="9" fillId="0" borderId="0" xfId="2" applyNumberFormat="1" applyFont="1"/>
    <xf numFmtId="169" fontId="29" fillId="0" borderId="50" xfId="0" applyNumberFormat="1" applyFont="1" applyFill="1" applyBorder="1" applyAlignment="1" applyProtection="1">
      <alignment horizontal="left"/>
    </xf>
    <xf numFmtId="0" fontId="29" fillId="0" borderId="51" xfId="0" applyFont="1" applyFill="1" applyBorder="1"/>
    <xf numFmtId="170" fontId="29" fillId="0" borderId="51" xfId="0" applyNumberFormat="1" applyFont="1" applyFill="1" applyBorder="1"/>
    <xf numFmtId="167" fontId="29" fillId="0" borderId="51" xfId="2" applyNumberFormat="1" applyFont="1" applyFill="1" applyBorder="1" applyProtection="1"/>
    <xf numFmtId="169" fontId="29" fillId="0" borderId="52" xfId="0" applyNumberFormat="1" applyFont="1" applyFill="1" applyBorder="1" applyProtection="1"/>
    <xf numFmtId="169" fontId="28" fillId="0" borderId="8" xfId="0" applyNumberFormat="1" applyFont="1" applyFill="1" applyBorder="1" applyAlignment="1" applyProtection="1">
      <alignment horizontal="left"/>
    </xf>
    <xf numFmtId="167" fontId="7" fillId="0" borderId="12" xfId="2" applyNumberFormat="1" applyFont="1" applyBorder="1"/>
    <xf numFmtId="0" fontId="7" fillId="0" borderId="12" xfId="0" applyFont="1" applyBorder="1"/>
    <xf numFmtId="0" fontId="9" fillId="0" borderId="13" xfId="0" applyFont="1" applyBorder="1"/>
    <xf numFmtId="0" fontId="9" fillId="0" borderId="8" xfId="0" applyFont="1" applyBorder="1"/>
    <xf numFmtId="0" fontId="9" fillId="0" borderId="17" xfId="0" applyFont="1" applyBorder="1"/>
    <xf numFmtId="0" fontId="9" fillId="0" borderId="14" xfId="0" applyFont="1" applyBorder="1"/>
    <xf numFmtId="0" fontId="0" fillId="0" borderId="20" xfId="0" applyBorder="1"/>
    <xf numFmtId="0" fontId="1" fillId="0" borderId="1" xfId="0" applyFont="1" applyBorder="1" applyAlignment="1" applyProtection="1">
      <alignment horizontal="center"/>
    </xf>
    <xf numFmtId="0" fontId="5" fillId="0" borderId="1" xfId="0" applyFont="1" applyBorder="1" applyAlignment="1" applyProtection="1">
      <alignment horizontal="left"/>
    </xf>
    <xf numFmtId="0" fontId="13" fillId="0" borderId="1" xfId="0" applyFont="1" applyBorder="1" applyAlignment="1" applyProtection="1">
      <alignment horizontal="left"/>
    </xf>
    <xf numFmtId="0" fontId="13" fillId="0" borderId="1" xfId="0" applyFont="1" applyBorder="1"/>
    <xf numFmtId="0" fontId="9" fillId="0" borderId="1" xfId="0" applyFont="1" applyBorder="1" applyAlignment="1" applyProtection="1">
      <alignment horizontal="left"/>
    </xf>
    <xf numFmtId="0" fontId="13" fillId="0" borderId="1" xfId="0" applyFont="1" applyBorder="1" applyAlignment="1" applyProtection="1">
      <alignment horizontal="center"/>
    </xf>
    <xf numFmtId="170" fontId="9" fillId="0" borderId="1" xfId="0" applyNumberFormat="1" applyFont="1" applyBorder="1" applyAlignment="1" applyProtection="1">
      <alignment horizontal="center"/>
    </xf>
    <xf numFmtId="0" fontId="33" fillId="0" borderId="3" xfId="0" applyFont="1" applyBorder="1" applyAlignment="1" applyProtection="1">
      <alignment horizontal="left"/>
    </xf>
    <xf numFmtId="0" fontId="13" fillId="0" borderId="3" xfId="0" applyFont="1" applyBorder="1" applyAlignment="1">
      <alignment horizontal="center"/>
    </xf>
    <xf numFmtId="170" fontId="9" fillId="0" borderId="3" xfId="0" applyNumberFormat="1" applyFont="1" applyBorder="1" applyAlignment="1" applyProtection="1">
      <alignment horizontal="center"/>
    </xf>
    <xf numFmtId="171" fontId="9" fillId="0" borderId="3" xfId="0" applyNumberFormat="1" applyFont="1" applyBorder="1" applyAlignment="1" applyProtection="1">
      <alignment horizontal="center"/>
    </xf>
    <xf numFmtId="171" fontId="1" fillId="0" borderId="3" xfId="0" applyNumberFormat="1" applyFont="1" applyBorder="1" applyAlignment="1" applyProtection="1">
      <alignment horizontal="center"/>
    </xf>
    <xf numFmtId="170" fontId="1" fillId="0" borderId="3" xfId="0" applyNumberFormat="1" applyFont="1" applyBorder="1" applyAlignment="1" applyProtection="1">
      <alignment horizontal="center"/>
    </xf>
    <xf numFmtId="0" fontId="33" fillId="0" borderId="1" xfId="0" applyFont="1" applyBorder="1" applyAlignment="1" applyProtection="1">
      <alignment horizontal="center"/>
    </xf>
    <xf numFmtId="0" fontId="13" fillId="0" borderId="1" xfId="0" applyFont="1" applyBorder="1" applyAlignment="1">
      <alignment horizontal="center"/>
    </xf>
    <xf numFmtId="0" fontId="33" fillId="0" borderId="1" xfId="0" applyFont="1" applyBorder="1" applyAlignment="1" applyProtection="1">
      <alignment horizontal="left"/>
    </xf>
    <xf numFmtId="0" fontId="9" fillId="0" borderId="1" xfId="0" applyFont="1" applyBorder="1" applyAlignment="1" applyProtection="1">
      <alignment horizontal="center"/>
    </xf>
    <xf numFmtId="0" fontId="13" fillId="0" borderId="3" xfId="0" applyFont="1" applyBorder="1" applyAlignment="1" applyProtection="1">
      <alignment horizontal="left"/>
    </xf>
    <xf numFmtId="0" fontId="33" fillId="0" borderId="3" xfId="0" applyFont="1" applyBorder="1" applyAlignment="1">
      <alignment horizontal="center"/>
    </xf>
    <xf numFmtId="0" fontId="9" fillId="0" borderId="0" xfId="0" applyFont="1" applyBorder="1" applyAlignment="1">
      <alignment horizontal="center"/>
    </xf>
    <xf numFmtId="0" fontId="33" fillId="0" borderId="3" xfId="0" applyFont="1" applyBorder="1" applyAlignment="1" applyProtection="1">
      <alignment horizontal="center"/>
    </xf>
    <xf numFmtId="0" fontId="1" fillId="0" borderId="3" xfId="0" applyFont="1" applyBorder="1" applyAlignment="1" applyProtection="1">
      <alignment horizontal="center"/>
    </xf>
    <xf numFmtId="170" fontId="1" fillId="0" borderId="1" xfId="0" applyNumberFormat="1" applyFont="1" applyBorder="1" applyAlignment="1" applyProtection="1">
      <alignment horizontal="center"/>
    </xf>
    <xf numFmtId="0" fontId="34" fillId="0" borderId="1" xfId="0" applyFont="1" applyBorder="1" applyAlignment="1" applyProtection="1">
      <alignment horizontal="left"/>
    </xf>
    <xf numFmtId="0" fontId="9" fillId="0" borderId="0" xfId="0" applyFont="1" applyAlignment="1" applyProtection="1">
      <alignment horizontal="left"/>
    </xf>
    <xf numFmtId="167" fontId="9" fillId="0" borderId="2" xfId="2" applyNumberFormat="1" applyFont="1" applyBorder="1"/>
    <xf numFmtId="9" fontId="0" fillId="0" borderId="2" xfId="0" applyNumberFormat="1" applyBorder="1"/>
    <xf numFmtId="167" fontId="0" fillId="0" borderId="2" xfId="2" applyNumberFormat="1" applyFont="1" applyBorder="1"/>
    <xf numFmtId="9" fontId="9" fillId="0" borderId="0" xfId="0" applyNumberFormat="1" applyFont="1" applyBorder="1"/>
    <xf numFmtId="0" fontId="9" fillId="0" borderId="17" xfId="0" applyFont="1" applyBorder="1" applyAlignment="1">
      <alignment horizontal="center"/>
    </xf>
    <xf numFmtId="167" fontId="9" fillId="0" borderId="17" xfId="2" applyNumberFormat="1" applyFont="1" applyBorder="1"/>
    <xf numFmtId="0" fontId="2" fillId="0" borderId="0" xfId="0" applyFont="1" applyFill="1"/>
    <xf numFmtId="0" fontId="0" fillId="0" borderId="0" xfId="0" applyFill="1"/>
    <xf numFmtId="0" fontId="12" fillId="0" borderId="0" xfId="0" applyFont="1" applyFill="1"/>
    <xf numFmtId="0" fontId="1" fillId="0" borderId="18" xfId="0" applyFont="1" applyFill="1" applyBorder="1"/>
    <xf numFmtId="0" fontId="0" fillId="0" borderId="18" xfId="0" applyFill="1" applyBorder="1"/>
    <xf numFmtId="0" fontId="0" fillId="0" borderId="1" xfId="0" applyFill="1" applyBorder="1"/>
    <xf numFmtId="0" fontId="0" fillId="0" borderId="1" xfId="0" applyFill="1" applyBorder="1" applyAlignment="1">
      <alignment horizontal="center"/>
    </xf>
    <xf numFmtId="166" fontId="0" fillId="0" borderId="1" xfId="0" applyNumberFormat="1" applyFill="1" applyBorder="1"/>
    <xf numFmtId="2" fontId="0" fillId="0" borderId="1" xfId="0" applyNumberFormat="1" applyFill="1" applyBorder="1"/>
    <xf numFmtId="0" fontId="0" fillId="0" borderId="1" xfId="0" applyFill="1" applyBorder="1" applyAlignment="1">
      <alignment horizontal="left"/>
    </xf>
    <xf numFmtId="0" fontId="1" fillId="0" borderId="3" xfId="0" applyFont="1" applyFill="1" applyBorder="1"/>
    <xf numFmtId="0" fontId="0" fillId="0" borderId="3" xfId="0" applyFill="1" applyBorder="1"/>
    <xf numFmtId="166" fontId="1" fillId="0" borderId="3" xfId="0" applyNumberFormat="1" applyFont="1" applyFill="1" applyBorder="1"/>
    <xf numFmtId="2" fontId="1" fillId="0" borderId="3" xfId="0" applyNumberFormat="1" applyFont="1" applyFill="1" applyBorder="1"/>
    <xf numFmtId="0" fontId="1" fillId="0" borderId="1" xfId="0" applyFont="1" applyFill="1" applyBorder="1"/>
    <xf numFmtId="0" fontId="1" fillId="0" borderId="4" xfId="0" applyFont="1" applyFill="1" applyBorder="1"/>
    <xf numFmtId="0" fontId="0" fillId="0" borderId="4" xfId="0" applyFill="1" applyBorder="1"/>
    <xf numFmtId="167" fontId="1" fillId="0" borderId="4" xfId="2" applyNumberFormat="1" applyFont="1" applyFill="1" applyBorder="1"/>
    <xf numFmtId="2" fontId="1" fillId="0" borderId="4" xfId="0" applyNumberFormat="1" applyFont="1" applyFill="1" applyBorder="1"/>
    <xf numFmtId="0" fontId="1" fillId="0" borderId="22" xfId="0" applyFont="1" applyFill="1" applyBorder="1"/>
    <xf numFmtId="0" fontId="0" fillId="0" borderId="9" xfId="0" applyFill="1" applyBorder="1"/>
    <xf numFmtId="167" fontId="1" fillId="0" borderId="9" xfId="2" applyNumberFormat="1" applyFont="1" applyFill="1" applyBorder="1"/>
    <xf numFmtId="166" fontId="7" fillId="0" borderId="53" xfId="0" applyNumberFormat="1" applyFont="1" applyFill="1" applyBorder="1"/>
    <xf numFmtId="2" fontId="7" fillId="0" borderId="53" xfId="0" applyNumberFormat="1" applyFont="1" applyFill="1" applyBorder="1"/>
    <xf numFmtId="0" fontId="7" fillId="0" borderId="11" xfId="0" applyFont="1" applyFill="1" applyBorder="1"/>
    <xf numFmtId="0" fontId="7" fillId="0" borderId="16" xfId="0" applyFont="1" applyFill="1" applyBorder="1"/>
    <xf numFmtId="14" fontId="0" fillId="0" borderId="0" xfId="0" applyNumberFormat="1" applyFill="1"/>
    <xf numFmtId="169" fontId="35" fillId="0" borderId="8" xfId="0" applyNumberFormat="1" applyFont="1" applyFill="1" applyBorder="1" applyAlignment="1" applyProtection="1">
      <alignment horizontal="left"/>
    </xf>
    <xf numFmtId="169" fontId="30" fillId="0" borderId="8" xfId="0" applyNumberFormat="1" applyFont="1" applyFill="1" applyBorder="1" applyAlignment="1" applyProtection="1">
      <alignment horizontal="left"/>
    </xf>
    <xf numFmtId="169" fontId="35" fillId="0" borderId="36" xfId="0" applyNumberFormat="1" applyFont="1" applyFill="1" applyBorder="1" applyAlignment="1" applyProtection="1">
      <alignment horizontal="left"/>
    </xf>
    <xf numFmtId="0" fontId="35" fillId="0" borderId="37" xfId="0" applyFont="1" applyFill="1" applyBorder="1"/>
    <xf numFmtId="0" fontId="32" fillId="0" borderId="37" xfId="0" applyFont="1" applyFill="1" applyBorder="1"/>
    <xf numFmtId="167" fontId="32" fillId="0" borderId="37" xfId="2" applyNumberFormat="1" applyFont="1" applyFill="1" applyBorder="1" applyProtection="1"/>
    <xf numFmtId="170" fontId="32" fillId="0" borderId="45" xfId="0" applyNumberFormat="1" applyFont="1" applyFill="1" applyBorder="1" applyProtection="1"/>
    <xf numFmtId="169" fontId="30" fillId="0" borderId="46" xfId="0" applyNumberFormat="1" applyFont="1" applyFill="1" applyBorder="1" applyAlignment="1" applyProtection="1">
      <alignment horizontal="left"/>
    </xf>
    <xf numFmtId="0" fontId="30" fillId="0" borderId="35" xfId="0" applyFont="1" applyFill="1" applyBorder="1"/>
    <xf numFmtId="167" fontId="29" fillId="0" borderId="35" xfId="2" applyNumberFormat="1" applyFont="1" applyFill="1" applyBorder="1" applyProtection="1"/>
    <xf numFmtId="169" fontId="35" fillId="0" borderId="37" xfId="0" applyNumberFormat="1" applyFont="1" applyFill="1" applyBorder="1" applyAlignment="1" applyProtection="1">
      <alignment horizontal="left"/>
    </xf>
    <xf numFmtId="169" fontId="32" fillId="0" borderId="37" xfId="0" applyNumberFormat="1" applyFont="1" applyFill="1" applyBorder="1" applyAlignment="1" applyProtection="1">
      <alignment horizontal="left"/>
    </xf>
    <xf numFmtId="14" fontId="9" fillId="0" borderId="0" xfId="0" applyNumberFormat="1" applyFont="1"/>
    <xf numFmtId="0" fontId="36" fillId="0" borderId="0" xfId="0" applyFont="1"/>
    <xf numFmtId="0" fontId="1" fillId="0" borderId="36" xfId="0" applyFont="1" applyBorder="1"/>
    <xf numFmtId="1" fontId="1" fillId="0" borderId="37" xfId="0" applyNumberFormat="1" applyFont="1" applyBorder="1" applyAlignment="1">
      <alignment horizontal="center"/>
    </xf>
    <xf numFmtId="0" fontId="1" fillId="0" borderId="45" xfId="0" applyFont="1" applyBorder="1"/>
    <xf numFmtId="1" fontId="0" fillId="0" borderId="1" xfId="0" applyNumberFormat="1" applyBorder="1" applyAlignment="1">
      <alignment horizontal="center"/>
    </xf>
    <xf numFmtId="1" fontId="1" fillId="0" borderId="4" xfId="0" applyNumberFormat="1" applyFont="1" applyBorder="1" applyAlignment="1">
      <alignment horizontal="center"/>
    </xf>
    <xf numFmtId="0" fontId="0" fillId="0" borderId="9" xfId="0" applyBorder="1" applyAlignment="1">
      <alignment horizontal="center"/>
    </xf>
    <xf numFmtId="167" fontId="1" fillId="0" borderId="9" xfId="2" applyNumberFormat="1" applyFont="1" applyBorder="1" applyAlignment="1">
      <alignment horizontal="center"/>
    </xf>
    <xf numFmtId="1" fontId="1" fillId="0" borderId="9" xfId="0" applyNumberFormat="1" applyFont="1" applyBorder="1" applyAlignment="1">
      <alignment horizontal="center"/>
    </xf>
    <xf numFmtId="0" fontId="3" fillId="0" borderId="22" xfId="0" applyFont="1" applyBorder="1"/>
    <xf numFmtId="167" fontId="0" fillId="0" borderId="9" xfId="2" applyNumberFormat="1" applyFont="1" applyBorder="1" applyAlignment="1">
      <alignment horizontal="center"/>
    </xf>
    <xf numFmtId="2" fontId="0" fillId="0" borderId="9" xfId="0" applyNumberFormat="1" applyBorder="1" applyAlignment="1">
      <alignment horizontal="center"/>
    </xf>
    <xf numFmtId="14" fontId="0" fillId="0" borderId="0" xfId="0" applyNumberFormat="1"/>
    <xf numFmtId="2" fontId="7" fillId="0" borderId="17" xfId="0" applyNumberFormat="1" applyFont="1" applyBorder="1" applyAlignment="1">
      <alignment horizontal="center"/>
    </xf>
    <xf numFmtId="172" fontId="9" fillId="0" borderId="0" xfId="2" applyNumberFormat="1" applyFont="1" applyBorder="1" applyProtection="1"/>
    <xf numFmtId="169" fontId="31" fillId="3" borderId="36" xfId="0" applyNumberFormat="1" applyFont="1" applyFill="1" applyBorder="1" applyAlignment="1" applyProtection="1">
      <alignment horizontal="left"/>
    </xf>
    <xf numFmtId="0" fontId="29" fillId="3" borderId="37" xfId="0" applyFont="1" applyFill="1" applyBorder="1"/>
    <xf numFmtId="172" fontId="28" fillId="3" borderId="37" xfId="2" applyNumberFormat="1" applyFont="1" applyFill="1" applyBorder="1" applyProtection="1"/>
    <xf numFmtId="170" fontId="28" fillId="3" borderId="45" xfId="0" applyNumberFormat="1" applyFont="1" applyFill="1" applyBorder="1" applyProtection="1"/>
    <xf numFmtId="172" fontId="9" fillId="0" borderId="0" xfId="2" applyNumberFormat="1" applyFont="1" applyBorder="1"/>
    <xf numFmtId="172" fontId="29" fillId="0" borderId="35" xfId="2" applyNumberFormat="1" applyFont="1" applyFill="1" applyBorder="1" applyProtection="1"/>
    <xf numFmtId="169" fontId="28" fillId="3" borderId="48" xfId="0" applyNumberFormat="1" applyFont="1" applyFill="1" applyBorder="1" applyAlignment="1" applyProtection="1">
      <alignment horizontal="left"/>
    </xf>
    <xf numFmtId="0" fontId="28" fillId="3" borderId="49" xfId="0" applyFont="1" applyFill="1" applyBorder="1"/>
    <xf numFmtId="172" fontId="28" fillId="3" borderId="49" xfId="2" applyNumberFormat="1" applyFont="1" applyFill="1" applyBorder="1" applyProtection="1"/>
    <xf numFmtId="170" fontId="28" fillId="3" borderId="54" xfId="0" applyNumberFormat="1" applyFont="1" applyFill="1" applyBorder="1" applyProtection="1"/>
    <xf numFmtId="172" fontId="9" fillId="0" borderId="12" xfId="2" applyNumberFormat="1" applyFont="1" applyBorder="1"/>
    <xf numFmtId="0" fontId="9" fillId="0" borderId="21" xfId="0" applyFont="1" applyBorder="1"/>
    <xf numFmtId="172" fontId="7" fillId="0" borderId="0" xfId="0" applyNumberFormat="1" applyFont="1" applyBorder="1"/>
    <xf numFmtId="0" fontId="0" fillId="0" borderId="33" xfId="0" applyBorder="1"/>
    <xf numFmtId="166" fontId="0" fillId="0" borderId="2" xfId="0" applyNumberFormat="1" applyBorder="1" applyAlignment="1">
      <alignment horizontal="center"/>
    </xf>
    <xf numFmtId="169" fontId="28" fillId="3" borderId="42" xfId="0" applyNumberFormat="1" applyFont="1" applyFill="1" applyBorder="1" applyAlignment="1" applyProtection="1">
      <alignment horizontal="left"/>
    </xf>
    <xf numFmtId="0" fontId="28" fillId="3" borderId="43" xfId="0" applyFont="1" applyFill="1" applyBorder="1"/>
    <xf numFmtId="172" fontId="28" fillId="3" borderId="43" xfId="2" applyNumberFormat="1" applyFont="1" applyFill="1" applyBorder="1" applyProtection="1"/>
    <xf numFmtId="170" fontId="28" fillId="3" borderId="44" xfId="0" applyNumberFormat="1" applyFont="1" applyFill="1" applyBorder="1" applyProtection="1"/>
    <xf numFmtId="169" fontId="32" fillId="0" borderId="41" xfId="0" applyNumberFormat="1" applyFont="1" applyFill="1" applyBorder="1" applyAlignment="1" applyProtection="1">
      <alignment horizontal="left"/>
    </xf>
    <xf numFmtId="0" fontId="9" fillId="0" borderId="41" xfId="0" applyFont="1" applyBorder="1"/>
    <xf numFmtId="169" fontId="29" fillId="0" borderId="2" xfId="0" applyNumberFormat="1" applyFont="1" applyFill="1" applyBorder="1" applyAlignment="1" applyProtection="1">
      <alignment horizontal="left"/>
    </xf>
    <xf numFmtId="169" fontId="30" fillId="0" borderId="2" xfId="0" applyNumberFormat="1" applyFont="1" applyFill="1" applyBorder="1" applyAlignment="1" applyProtection="1">
      <alignment horizontal="left"/>
    </xf>
    <xf numFmtId="171" fontId="9" fillId="0" borderId="2" xfId="0" applyNumberFormat="1" applyFont="1" applyBorder="1" applyProtection="1"/>
    <xf numFmtId="167" fontId="9" fillId="0" borderId="2" xfId="2" applyNumberFormat="1" applyFont="1" applyBorder="1" applyProtection="1"/>
    <xf numFmtId="170" fontId="9" fillId="0" borderId="2" xfId="0" applyNumberFormat="1" applyFont="1" applyBorder="1" applyProtection="1"/>
    <xf numFmtId="169" fontId="32" fillId="0" borderId="2" xfId="0" applyNumberFormat="1" applyFont="1" applyFill="1" applyBorder="1" applyAlignment="1" applyProtection="1">
      <alignment horizontal="left"/>
    </xf>
    <xf numFmtId="0" fontId="32" fillId="0" borderId="2" xfId="0" applyFont="1" applyFill="1" applyBorder="1"/>
    <xf numFmtId="167" fontId="32" fillId="0" borderId="2" xfId="2" applyNumberFormat="1" applyFont="1" applyFill="1" applyBorder="1" applyProtection="1"/>
    <xf numFmtId="170" fontId="32" fillId="0" borderId="2" xfId="0" applyNumberFormat="1" applyFont="1" applyFill="1" applyBorder="1" applyProtection="1"/>
    <xf numFmtId="170" fontId="29" fillId="0" borderId="2" xfId="0" applyNumberFormat="1" applyFont="1" applyFill="1" applyBorder="1" applyAlignment="1" applyProtection="1">
      <alignment horizontal="left"/>
    </xf>
    <xf numFmtId="0" fontId="29" fillId="0" borderId="2" xfId="0" applyFont="1" applyFill="1" applyBorder="1"/>
    <xf numFmtId="167" fontId="29" fillId="0" borderId="2" xfId="2" applyNumberFormat="1" applyFont="1" applyFill="1" applyBorder="1" applyProtection="1"/>
    <xf numFmtId="170" fontId="29" fillId="0" borderId="2" xfId="0" applyNumberFormat="1" applyFont="1" applyFill="1" applyBorder="1" applyProtection="1"/>
    <xf numFmtId="169" fontId="29" fillId="0" borderId="2" xfId="0" applyNumberFormat="1" applyFont="1" applyFill="1" applyBorder="1" applyAlignment="1" applyProtection="1">
      <alignment horizontal="center"/>
    </xf>
    <xf numFmtId="169" fontId="35" fillId="0" borderId="2" xfId="0" applyNumberFormat="1" applyFont="1" applyFill="1" applyBorder="1" applyAlignment="1" applyProtection="1">
      <alignment horizontal="left"/>
    </xf>
    <xf numFmtId="0" fontId="13" fillId="0" borderId="2" xfId="0" applyFont="1" applyBorder="1"/>
    <xf numFmtId="169" fontId="32" fillId="0" borderId="0" xfId="0" applyNumberFormat="1" applyFont="1" applyFill="1" applyBorder="1" applyAlignment="1" applyProtection="1"/>
    <xf numFmtId="0" fontId="32" fillId="0" borderId="0" xfId="0" applyFont="1" applyFill="1" applyBorder="1"/>
    <xf numFmtId="167" fontId="32" fillId="0" borderId="0" xfId="2" applyNumberFormat="1" applyFont="1" applyFill="1" applyBorder="1" applyProtection="1"/>
    <xf numFmtId="170" fontId="32" fillId="0" borderId="0" xfId="0" applyNumberFormat="1" applyFont="1" applyFill="1" applyBorder="1" applyProtection="1"/>
    <xf numFmtId="166" fontId="7" fillId="0" borderId="0" xfId="0" applyNumberFormat="1" applyFont="1"/>
    <xf numFmtId="167" fontId="9" fillId="0" borderId="2" xfId="2" applyNumberFormat="1" applyFont="1" applyBorder="1" applyAlignment="1">
      <alignment horizontal="center"/>
    </xf>
    <xf numFmtId="167" fontId="39" fillId="0" borderId="2" xfId="2" applyNumberFormat="1" applyFont="1" applyBorder="1" applyAlignment="1">
      <alignment horizontal="center"/>
    </xf>
    <xf numFmtId="9" fontId="0" fillId="0" borderId="0" xfId="4" applyFont="1"/>
    <xf numFmtId="0" fontId="1" fillId="0" borderId="11" xfId="0" applyFont="1" applyBorder="1" applyAlignment="1">
      <alignment horizontal="center"/>
    </xf>
    <xf numFmtId="0" fontId="0" fillId="0" borderId="0" xfId="0" applyBorder="1"/>
    <xf numFmtId="0" fontId="5" fillId="0" borderId="2" xfId="0" applyFont="1" applyBorder="1" applyAlignment="1">
      <alignment horizontal="center"/>
    </xf>
    <xf numFmtId="0" fontId="7" fillId="0" borderId="2" xfId="0" applyFont="1" applyBorder="1" applyAlignment="1">
      <alignment horizontal="center"/>
    </xf>
    <xf numFmtId="167" fontId="7" fillId="0" borderId="2" xfId="2" applyNumberFormat="1" applyFont="1" applyBorder="1"/>
    <xf numFmtId="167" fontId="0" fillId="0" borderId="0" xfId="0" applyNumberFormat="1"/>
    <xf numFmtId="2" fontId="0" fillId="0" borderId="2" xfId="0" applyNumberFormat="1" applyBorder="1"/>
    <xf numFmtId="0" fontId="0" fillId="0" borderId="2" xfId="0" applyFill="1" applyBorder="1"/>
    <xf numFmtId="0" fontId="0" fillId="0" borderId="2" xfId="0" applyFill="1" applyBorder="1" applyAlignment="1">
      <alignment horizontal="center"/>
    </xf>
    <xf numFmtId="0" fontId="9" fillId="0" borderId="2" xfId="0" applyFont="1" applyFill="1" applyBorder="1"/>
    <xf numFmtId="0" fontId="5" fillId="4" borderId="18" xfId="0" applyFont="1" applyFill="1" applyBorder="1" applyAlignment="1">
      <alignment horizontal="center"/>
    </xf>
    <xf numFmtId="0" fontId="5" fillId="4" borderId="1" xfId="0" applyFont="1" applyFill="1" applyBorder="1" applyAlignment="1">
      <alignment horizontal="center"/>
    </xf>
    <xf numFmtId="0" fontId="5" fillId="4" borderId="5" xfId="0" applyFont="1" applyFill="1" applyBorder="1" applyAlignment="1">
      <alignment horizontal="center"/>
    </xf>
    <xf numFmtId="0" fontId="7" fillId="4" borderId="23" xfId="0" applyFont="1" applyFill="1" applyBorder="1"/>
    <xf numFmtId="0" fontId="6" fillId="4" borderId="1" xfId="0" applyFont="1" applyFill="1" applyBorder="1" applyAlignment="1">
      <alignment horizontal="center"/>
    </xf>
    <xf numFmtId="0" fontId="6" fillId="4" borderId="5" xfId="0" applyFont="1" applyFill="1" applyBorder="1" applyAlignment="1">
      <alignment horizontal="center"/>
    </xf>
    <xf numFmtId="0" fontId="1" fillId="4" borderId="55" xfId="0" applyFont="1" applyFill="1" applyBorder="1"/>
    <xf numFmtId="0" fontId="1" fillId="4" borderId="55" xfId="0" applyFont="1" applyFill="1" applyBorder="1" applyAlignment="1">
      <alignment horizontal="center"/>
    </xf>
    <xf numFmtId="167" fontId="1" fillId="4" borderId="55" xfId="2" applyNumberFormat="1" applyFont="1" applyFill="1" applyBorder="1" applyAlignment="1">
      <alignment horizontal="center"/>
    </xf>
    <xf numFmtId="0" fontId="7" fillId="5" borderId="21" xfId="0" applyFont="1" applyFill="1" applyBorder="1" applyAlignment="1">
      <alignment horizontal="left"/>
    </xf>
    <xf numFmtId="0" fontId="7" fillId="3" borderId="20" xfId="0" applyFont="1" applyFill="1" applyBorder="1"/>
    <xf numFmtId="1" fontId="7" fillId="3" borderId="33" xfId="0" applyNumberFormat="1" applyFont="1" applyFill="1" applyBorder="1"/>
    <xf numFmtId="0" fontId="0" fillId="0" borderId="38" xfId="0" applyBorder="1"/>
    <xf numFmtId="0" fontId="5" fillId="3" borderId="2" xfId="0" applyFont="1" applyFill="1" applyBorder="1"/>
    <xf numFmtId="0" fontId="7" fillId="3" borderId="2" xfId="0" applyFont="1" applyFill="1" applyBorder="1" applyAlignment="1">
      <alignment horizontal="center"/>
    </xf>
    <xf numFmtId="167" fontId="7" fillId="3" borderId="2" xfId="2" applyNumberFormat="1" applyFont="1" applyFill="1" applyBorder="1" applyAlignment="1">
      <alignment horizontal="center"/>
    </xf>
    <xf numFmtId="0" fontId="7" fillId="4" borderId="2" xfId="0" applyFont="1" applyFill="1" applyBorder="1"/>
    <xf numFmtId="169" fontId="14" fillId="4" borderId="50" xfId="0" applyNumberFormat="1" applyFont="1" applyFill="1" applyBorder="1" applyAlignment="1" applyProtection="1"/>
    <xf numFmtId="0" fontId="14" fillId="4" borderId="51" xfId="0" applyFont="1" applyFill="1" applyBorder="1"/>
    <xf numFmtId="0" fontId="22" fillId="4" borderId="51" xfId="0" applyFont="1" applyFill="1" applyBorder="1"/>
    <xf numFmtId="172" fontId="22" fillId="4" borderId="51" xfId="2" applyNumberFormat="1" applyFont="1" applyFill="1" applyBorder="1" applyProtection="1"/>
    <xf numFmtId="171" fontId="22" fillId="4" borderId="51" xfId="0" applyNumberFormat="1" applyFont="1" applyFill="1" applyBorder="1" applyProtection="1"/>
    <xf numFmtId="169" fontId="14" fillId="4" borderId="11" xfId="0" applyNumberFormat="1" applyFont="1" applyFill="1" applyBorder="1" applyAlignment="1" applyProtection="1">
      <alignment horizontal="left"/>
    </xf>
    <xf numFmtId="3" fontId="24" fillId="4" borderId="12" xfId="0" applyNumberFormat="1" applyFont="1" applyFill="1" applyBorder="1"/>
    <xf numFmtId="0" fontId="24" fillId="4" borderId="12" xfId="0" applyFont="1" applyFill="1" applyBorder="1"/>
    <xf numFmtId="169" fontId="14" fillId="5" borderId="16" xfId="0" applyNumberFormat="1" applyFont="1" applyFill="1" applyBorder="1" applyAlignment="1" applyProtection="1">
      <alignment horizontal="left"/>
    </xf>
    <xf numFmtId="166" fontId="24" fillId="5" borderId="17" xfId="0" applyNumberFormat="1" applyFont="1" applyFill="1" applyBorder="1"/>
    <xf numFmtId="0" fontId="24" fillId="5" borderId="17" xfId="0" applyFont="1" applyFill="1" applyBorder="1"/>
    <xf numFmtId="0" fontId="17" fillId="4" borderId="11" xfId="0" applyFont="1" applyFill="1" applyBorder="1"/>
    <xf numFmtId="0" fontId="17" fillId="4" borderId="12" xfId="0" applyFont="1" applyFill="1" applyBorder="1"/>
    <xf numFmtId="169" fontId="17" fillId="4" borderId="12" xfId="0" applyNumberFormat="1" applyFont="1" applyFill="1" applyBorder="1" applyAlignment="1" applyProtection="1">
      <alignment horizontal="left"/>
    </xf>
    <xf numFmtId="169" fontId="17" fillId="4" borderId="12" xfId="0" applyNumberFormat="1" applyFont="1" applyFill="1" applyBorder="1" applyAlignment="1" applyProtection="1">
      <alignment horizontal="center"/>
    </xf>
    <xf numFmtId="169" fontId="17" fillId="4" borderId="13" xfId="0" applyNumberFormat="1" applyFont="1" applyFill="1" applyBorder="1" applyAlignment="1" applyProtection="1">
      <alignment horizontal="center"/>
    </xf>
    <xf numFmtId="169" fontId="17" fillId="4" borderId="8" xfId="0" applyNumberFormat="1" applyFont="1" applyFill="1" applyBorder="1" applyAlignment="1" applyProtection="1">
      <alignment horizontal="center"/>
    </xf>
    <xf numFmtId="169" fontId="17" fillId="4" borderId="0" xfId="0" applyNumberFormat="1" applyFont="1" applyFill="1" applyBorder="1" applyAlignment="1" applyProtection="1">
      <alignment horizontal="center"/>
    </xf>
    <xf numFmtId="0" fontId="18" fillId="4" borderId="0" xfId="0" applyFont="1" applyFill="1" applyBorder="1"/>
    <xf numFmtId="169" fontId="17" fillId="4" borderId="15" xfId="0" applyNumberFormat="1" applyFont="1" applyFill="1" applyBorder="1" applyAlignment="1" applyProtection="1">
      <alignment horizontal="center"/>
    </xf>
    <xf numFmtId="169" fontId="17" fillId="4" borderId="16" xfId="0" applyNumberFormat="1" applyFont="1" applyFill="1" applyBorder="1" applyAlignment="1" applyProtection="1">
      <alignment horizontal="center"/>
    </xf>
    <xf numFmtId="0" fontId="18" fillId="4" borderId="17" xfId="0" applyFont="1" applyFill="1" applyBorder="1"/>
    <xf numFmtId="169" fontId="17" fillId="4" borderId="17" xfId="0" applyNumberFormat="1" applyFont="1" applyFill="1" applyBorder="1" applyAlignment="1" applyProtection="1">
      <alignment horizontal="left"/>
    </xf>
    <xf numFmtId="169" fontId="17" fillId="4" borderId="17" xfId="0" applyNumberFormat="1" applyFont="1" applyFill="1" applyBorder="1" applyAlignment="1" applyProtection="1">
      <alignment horizontal="center"/>
    </xf>
    <xf numFmtId="169" fontId="17" fillId="4" borderId="14" xfId="0" applyNumberFormat="1" applyFont="1" applyFill="1" applyBorder="1" applyAlignment="1" applyProtection="1">
      <alignment horizontal="center"/>
    </xf>
    <xf numFmtId="167" fontId="28" fillId="0" borderId="35" xfId="2" applyNumberFormat="1" applyFont="1" applyFill="1" applyBorder="1" applyAlignment="1" applyProtection="1">
      <alignment horizontal="center"/>
    </xf>
    <xf numFmtId="0" fontId="9" fillId="0" borderId="20" xfId="0" applyFont="1" applyBorder="1"/>
    <xf numFmtId="0" fontId="7" fillId="0" borderId="0" xfId="0" applyFont="1" applyAlignment="1">
      <alignment horizontal="center"/>
    </xf>
    <xf numFmtId="167" fontId="7" fillId="2" borderId="2" xfId="2" applyNumberFormat="1" applyFont="1" applyFill="1" applyBorder="1"/>
    <xf numFmtId="174" fontId="7" fillId="2" borderId="2" xfId="3" applyNumberFormat="1" applyFont="1" applyFill="1" applyBorder="1"/>
    <xf numFmtId="175" fontId="7" fillId="2" borderId="2" xfId="3" applyNumberFormat="1" applyFont="1" applyFill="1" applyBorder="1"/>
    <xf numFmtId="165" fontId="7" fillId="2" borderId="2" xfId="3" applyNumberFormat="1" applyFont="1" applyFill="1" applyBorder="1"/>
    <xf numFmtId="176" fontId="0" fillId="0" borderId="0" xfId="3" applyNumberFormat="1" applyFont="1"/>
    <xf numFmtId="164" fontId="0" fillId="0" borderId="0" xfId="0" applyNumberFormat="1"/>
    <xf numFmtId="43" fontId="19" fillId="0" borderId="1" xfId="2" applyNumberFormat="1" applyFont="1" applyBorder="1" applyAlignment="1" applyProtection="1">
      <alignment horizontal="center"/>
    </xf>
    <xf numFmtId="171" fontId="19" fillId="0" borderId="1" xfId="0" applyNumberFormat="1" applyFont="1" applyBorder="1" applyAlignment="1" applyProtection="1">
      <alignment horizontal="center"/>
    </xf>
    <xf numFmtId="0" fontId="7" fillId="2" borderId="0" xfId="0" applyFont="1" applyFill="1"/>
    <xf numFmtId="0" fontId="9" fillId="0" borderId="2" xfId="0" applyFont="1" applyFill="1" applyBorder="1" applyAlignment="1">
      <alignment horizontal="center"/>
    </xf>
    <xf numFmtId="0" fontId="39" fillId="0" borderId="2" xfId="0" applyFont="1" applyBorder="1" applyAlignment="1">
      <alignment horizontal="center"/>
    </xf>
    <xf numFmtId="167" fontId="7" fillId="0" borderId="17" xfId="2" applyNumberFormat="1" applyFont="1" applyBorder="1" applyAlignment="1">
      <alignment horizontal="center"/>
    </xf>
    <xf numFmtId="0" fontId="1" fillId="2" borderId="23" xfId="0" applyFont="1" applyFill="1" applyBorder="1"/>
    <xf numFmtId="0" fontId="1" fillId="2" borderId="53" xfId="0" applyFont="1" applyFill="1" applyBorder="1"/>
    <xf numFmtId="167" fontId="1" fillId="2" borderId="53" xfId="2" applyNumberFormat="1" applyFont="1" applyFill="1" applyBorder="1"/>
    <xf numFmtId="0" fontId="5" fillId="2" borderId="18" xfId="0" applyFont="1" applyFill="1" applyBorder="1" applyAlignment="1">
      <alignment horizontal="center"/>
    </xf>
    <xf numFmtId="0" fontId="5" fillId="2" borderId="1" xfId="0" applyFont="1" applyFill="1" applyBorder="1" applyAlignment="1">
      <alignment horizontal="center"/>
    </xf>
    <xf numFmtId="0" fontId="5" fillId="2" borderId="5" xfId="0" applyFont="1" applyFill="1" applyBorder="1" applyAlignment="1">
      <alignment horizontal="center"/>
    </xf>
    <xf numFmtId="0" fontId="1" fillId="2" borderId="18"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58" xfId="0" applyFont="1" applyFill="1" applyBorder="1"/>
    <xf numFmtId="0" fontId="35" fillId="2" borderId="11" xfId="0" applyFont="1" applyFill="1" applyBorder="1"/>
    <xf numFmtId="0" fontId="35" fillId="2" borderId="12" xfId="0" applyFont="1" applyFill="1" applyBorder="1"/>
    <xf numFmtId="169" fontId="35" fillId="2" borderId="12" xfId="0" applyNumberFormat="1" applyFont="1" applyFill="1" applyBorder="1" applyAlignment="1" applyProtection="1">
      <alignment horizontal="left"/>
    </xf>
    <xf numFmtId="169" fontId="35" fillId="2" borderId="0" xfId="0" applyNumberFormat="1" applyFont="1" applyFill="1" applyBorder="1" applyAlignment="1" applyProtection="1">
      <alignment horizontal="center"/>
    </xf>
    <xf numFmtId="169" fontId="35" fillId="2" borderId="15" xfId="0" applyNumberFormat="1" applyFont="1" applyFill="1" applyBorder="1" applyAlignment="1" applyProtection="1">
      <alignment horizontal="left"/>
    </xf>
    <xf numFmtId="169" fontId="35" fillId="2" borderId="8" xfId="0" applyNumberFormat="1" applyFont="1" applyFill="1" applyBorder="1" applyAlignment="1" applyProtection="1">
      <alignment horizontal="center"/>
    </xf>
    <xf numFmtId="169" fontId="35" fillId="2" borderId="0" xfId="0" applyNumberFormat="1" applyFont="1" applyFill="1" applyBorder="1" applyAlignment="1" applyProtection="1">
      <alignment horizontal="left"/>
    </xf>
    <xf numFmtId="0" fontId="35" fillId="2" borderId="8" xfId="0" applyFont="1" applyFill="1" applyBorder="1"/>
    <xf numFmtId="0" fontId="5" fillId="2" borderId="0" xfId="0" applyFont="1" applyFill="1" applyBorder="1"/>
    <xf numFmtId="169" fontId="28" fillId="2" borderId="50" xfId="0" applyNumberFormat="1" applyFont="1" applyFill="1" applyBorder="1" applyAlignment="1" applyProtection="1"/>
    <xf numFmtId="0" fontId="28" fillId="2" borderId="51" xfId="0" applyFont="1" applyFill="1" applyBorder="1"/>
    <xf numFmtId="167" fontId="28" fillId="2" borderId="51" xfId="2" applyNumberFormat="1" applyFont="1" applyFill="1" applyBorder="1" applyProtection="1"/>
    <xf numFmtId="170" fontId="28" fillId="2" borderId="52" xfId="0" applyNumberFormat="1" applyFont="1" applyFill="1" applyBorder="1" applyProtection="1"/>
    <xf numFmtId="169" fontId="28" fillId="0" borderId="8" xfId="0" applyNumberFormat="1" applyFont="1" applyFill="1" applyBorder="1" applyAlignment="1" applyProtection="1"/>
    <xf numFmtId="0" fontId="28" fillId="0" borderId="0" xfId="0" applyFont="1" applyFill="1" applyBorder="1"/>
    <xf numFmtId="167" fontId="28" fillId="0" borderId="0" xfId="2" applyNumberFormat="1" applyFont="1" applyFill="1" applyBorder="1" applyProtection="1"/>
    <xf numFmtId="170" fontId="28" fillId="0" borderId="0" xfId="0" applyNumberFormat="1" applyFont="1" applyFill="1" applyBorder="1" applyProtection="1"/>
    <xf numFmtId="0" fontId="35" fillId="4" borderId="11" xfId="0" applyFont="1" applyFill="1" applyBorder="1"/>
    <xf numFmtId="0" fontId="35" fillId="4" borderId="12" xfId="0" applyFont="1" applyFill="1" applyBorder="1"/>
    <xf numFmtId="169" fontId="35" fillId="4" borderId="12" xfId="0" applyNumberFormat="1" applyFont="1" applyFill="1" applyBorder="1" applyAlignment="1" applyProtection="1">
      <alignment horizontal="left"/>
    </xf>
    <xf numFmtId="169" fontId="35" fillId="4" borderId="0" xfId="0" applyNumberFormat="1" applyFont="1" applyFill="1" applyBorder="1" applyAlignment="1" applyProtection="1">
      <alignment horizontal="center"/>
    </xf>
    <xf numFmtId="169" fontId="35" fillId="4" borderId="15" xfId="0" applyNumberFormat="1" applyFont="1" applyFill="1" applyBorder="1" applyAlignment="1" applyProtection="1">
      <alignment horizontal="left"/>
    </xf>
    <xf numFmtId="169" fontId="35" fillId="4" borderId="8" xfId="0" applyNumberFormat="1" applyFont="1" applyFill="1" applyBorder="1" applyAlignment="1" applyProtection="1">
      <alignment horizontal="center"/>
    </xf>
    <xf numFmtId="169" fontId="35" fillId="4" borderId="0" xfId="0" applyNumberFormat="1" applyFont="1" applyFill="1" applyBorder="1" applyAlignment="1" applyProtection="1">
      <alignment horizontal="left"/>
    </xf>
    <xf numFmtId="0" fontId="35" fillId="4" borderId="8" xfId="0" applyFont="1" applyFill="1" applyBorder="1"/>
    <xf numFmtId="0" fontId="5" fillId="4" borderId="0" xfId="0" applyFont="1" applyFill="1" applyBorder="1"/>
    <xf numFmtId="169" fontId="28" fillId="4" borderId="50" xfId="0" applyNumberFormat="1" applyFont="1" applyFill="1" applyBorder="1" applyAlignment="1" applyProtection="1"/>
    <xf numFmtId="0" fontId="28" fillId="4" borderId="51" xfId="0" applyFont="1" applyFill="1" applyBorder="1"/>
    <xf numFmtId="167" fontId="28" fillId="4" borderId="51" xfId="2" applyNumberFormat="1" applyFont="1" applyFill="1" applyBorder="1" applyProtection="1"/>
    <xf numFmtId="170" fontId="28" fillId="4" borderId="52" xfId="0" applyNumberFormat="1" applyFont="1" applyFill="1" applyBorder="1" applyProtection="1"/>
    <xf numFmtId="0" fontId="27" fillId="4" borderId="59" xfId="0" applyFont="1" applyFill="1" applyBorder="1" applyAlignment="1" applyProtection="1"/>
    <xf numFmtId="0" fontId="27" fillId="4" borderId="59" xfId="0" applyFont="1" applyFill="1" applyBorder="1" applyAlignment="1">
      <alignment horizontal="center"/>
    </xf>
    <xf numFmtId="0" fontId="14" fillId="4" borderId="59" xfId="0" applyFont="1" applyFill="1" applyBorder="1" applyAlignment="1">
      <alignment horizontal="center"/>
    </xf>
    <xf numFmtId="168" fontId="14" fillId="4" borderId="59" xfId="2" applyNumberFormat="1" applyFont="1" applyFill="1" applyBorder="1" applyAlignment="1">
      <alignment horizontal="center"/>
    </xf>
    <xf numFmtId="167" fontId="14" fillId="4" borderId="59" xfId="2" applyNumberFormat="1" applyFont="1" applyFill="1" applyBorder="1" applyAlignment="1" applyProtection="1">
      <alignment horizontal="center"/>
    </xf>
    <xf numFmtId="168" fontId="14" fillId="4" borderId="59" xfId="2" applyNumberFormat="1" applyFont="1" applyFill="1" applyBorder="1" applyAlignment="1" applyProtection="1">
      <alignment horizontal="center"/>
    </xf>
    <xf numFmtId="0" fontId="24" fillId="4" borderId="18" xfId="0" applyFont="1" applyFill="1" applyBorder="1" applyAlignment="1">
      <alignment horizontal="center"/>
    </xf>
    <xf numFmtId="0" fontId="24" fillId="4" borderId="18" xfId="0" applyFont="1" applyFill="1" applyBorder="1" applyAlignment="1" applyProtection="1">
      <alignment horizontal="center"/>
    </xf>
    <xf numFmtId="0" fontId="24" fillId="4" borderId="1" xfId="0" applyFont="1" applyFill="1" applyBorder="1" applyAlignment="1" applyProtection="1">
      <alignment horizontal="center"/>
    </xf>
    <xf numFmtId="0" fontId="24" fillId="4" borderId="1" xfId="0" applyFont="1" applyFill="1" applyBorder="1" applyAlignment="1">
      <alignment horizontal="center"/>
    </xf>
    <xf numFmtId="0" fontId="24" fillId="4" borderId="5" xfId="0" applyFont="1" applyFill="1" applyBorder="1" applyAlignment="1">
      <alignment horizontal="center"/>
    </xf>
    <xf numFmtId="0" fontId="24" fillId="4" borderId="5" xfId="0" applyFont="1" applyFill="1" applyBorder="1" applyAlignment="1" applyProtection="1">
      <alignment horizontal="center"/>
    </xf>
    <xf numFmtId="0" fontId="1" fillId="4" borderId="18" xfId="0" applyFont="1" applyFill="1" applyBorder="1" applyAlignment="1">
      <alignment horizontal="center"/>
    </xf>
    <xf numFmtId="0" fontId="1" fillId="4" borderId="18"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1" xfId="0" applyFont="1" applyFill="1" applyBorder="1" applyAlignment="1">
      <alignment horizontal="center"/>
    </xf>
    <xf numFmtId="0" fontId="1" fillId="4" borderId="5" xfId="0" applyFont="1" applyFill="1" applyBorder="1" applyAlignment="1">
      <alignment horizontal="center"/>
    </xf>
    <xf numFmtId="0" fontId="1" fillId="4" borderId="5" xfId="0" applyFont="1" applyFill="1" applyBorder="1" applyAlignment="1" applyProtection="1">
      <alignment horizontal="center"/>
    </xf>
    <xf numFmtId="167" fontId="28" fillId="4" borderId="59" xfId="2" applyNumberFormat="1" applyFont="1" applyFill="1" applyBorder="1" applyAlignment="1" applyProtection="1">
      <alignment horizontal="center"/>
    </xf>
    <xf numFmtId="0" fontId="30" fillId="4" borderId="11" xfId="0" applyFont="1" applyFill="1" applyBorder="1"/>
    <xf numFmtId="0" fontId="30" fillId="4" borderId="12" xfId="0" applyFont="1" applyFill="1" applyBorder="1"/>
    <xf numFmtId="169" fontId="30" fillId="4" borderId="12" xfId="0" applyNumberFormat="1" applyFont="1" applyFill="1" applyBorder="1" applyAlignment="1" applyProtection="1">
      <alignment horizontal="left"/>
    </xf>
    <xf numFmtId="169" fontId="30" fillId="4" borderId="12" xfId="0" applyNumberFormat="1" applyFont="1" applyFill="1" applyBorder="1" applyAlignment="1" applyProtection="1">
      <alignment horizontal="center"/>
    </xf>
    <xf numFmtId="169" fontId="30" fillId="4" borderId="8" xfId="0" applyNumberFormat="1" applyFont="1" applyFill="1" applyBorder="1" applyAlignment="1" applyProtection="1">
      <alignment horizontal="center"/>
    </xf>
    <xf numFmtId="169" fontId="30" fillId="4" borderId="0" xfId="0" applyNumberFormat="1" applyFont="1" applyFill="1" applyBorder="1" applyAlignment="1" applyProtection="1">
      <alignment horizontal="center"/>
    </xf>
    <xf numFmtId="0" fontId="30" fillId="4" borderId="15" xfId="0" applyFont="1" applyFill="1" applyBorder="1" applyAlignment="1">
      <alignment horizontal="center"/>
    </xf>
    <xf numFmtId="0" fontId="30" fillId="4" borderId="16" xfId="0" applyFont="1" applyFill="1" applyBorder="1"/>
    <xf numFmtId="0" fontId="13" fillId="4" borderId="17" xfId="0" applyFont="1" applyFill="1" applyBorder="1"/>
    <xf numFmtId="169" fontId="30" fillId="4" borderId="17" xfId="0" applyNumberFormat="1" applyFont="1" applyFill="1" applyBorder="1" applyAlignment="1" applyProtection="1">
      <alignment horizontal="center"/>
    </xf>
    <xf numFmtId="169" fontId="30" fillId="4" borderId="14" xfId="0" applyNumberFormat="1" applyFont="1" applyFill="1" applyBorder="1" applyAlignment="1" applyProtection="1">
      <alignment horizontal="center"/>
    </xf>
    <xf numFmtId="169" fontId="35" fillId="4" borderId="36" xfId="0" applyNumberFormat="1" applyFont="1" applyFill="1" applyBorder="1" applyAlignment="1" applyProtection="1"/>
    <xf numFmtId="0" fontId="35" fillId="4" borderId="37" xfId="0" applyFont="1" applyFill="1" applyBorder="1"/>
    <xf numFmtId="0" fontId="32" fillId="4" borderId="37" xfId="0" applyFont="1" applyFill="1" applyBorder="1"/>
    <xf numFmtId="167" fontId="32" fillId="4" borderId="37" xfId="2" applyNumberFormat="1" applyFont="1" applyFill="1" applyBorder="1" applyProtection="1"/>
    <xf numFmtId="170" fontId="32" fillId="4" borderId="45" xfId="0" applyNumberFormat="1" applyFont="1" applyFill="1" applyBorder="1" applyProtection="1"/>
    <xf numFmtId="169" fontId="31" fillId="4" borderId="50" xfId="0" applyNumberFormat="1" applyFont="1" applyFill="1" applyBorder="1" applyAlignment="1" applyProtection="1"/>
    <xf numFmtId="0" fontId="32" fillId="4" borderId="51" xfId="0" applyFont="1" applyFill="1" applyBorder="1"/>
    <xf numFmtId="37" fontId="32" fillId="4" borderId="51" xfId="0" applyNumberFormat="1" applyFont="1" applyFill="1" applyBorder="1" applyProtection="1"/>
    <xf numFmtId="172" fontId="31" fillId="4" borderId="36" xfId="2" applyNumberFormat="1" applyFont="1" applyFill="1" applyBorder="1"/>
    <xf numFmtId="172" fontId="28" fillId="4" borderId="37" xfId="2" applyNumberFormat="1" applyFont="1" applyFill="1" applyBorder="1"/>
    <xf numFmtId="177" fontId="28" fillId="4" borderId="37" xfId="3" applyNumberFormat="1" applyFont="1" applyFill="1" applyBorder="1"/>
    <xf numFmtId="172" fontId="28" fillId="4" borderId="45" xfId="2" applyNumberFormat="1" applyFont="1" applyFill="1" applyBorder="1"/>
    <xf numFmtId="178" fontId="32" fillId="4" borderId="51" xfId="0" applyNumberFormat="1" applyFont="1" applyFill="1" applyBorder="1" applyProtection="1"/>
    <xf numFmtId="0" fontId="1" fillId="4" borderId="15" xfId="0" applyFont="1" applyFill="1" applyBorder="1"/>
    <xf numFmtId="0" fontId="0" fillId="4" borderId="60" xfId="0" applyFill="1" applyBorder="1" applyAlignment="1">
      <alignment horizontal="center"/>
    </xf>
    <xf numFmtId="167" fontId="1" fillId="4" borderId="60" xfId="2" applyNumberFormat="1" applyFont="1" applyFill="1" applyBorder="1" applyAlignment="1">
      <alignment horizontal="center"/>
    </xf>
    <xf numFmtId="1" fontId="1" fillId="4" borderId="60" xfId="0" applyNumberFormat="1" applyFont="1" applyFill="1" applyBorder="1" applyAlignment="1">
      <alignment horizontal="center"/>
    </xf>
    <xf numFmtId="0" fontId="7" fillId="4" borderId="61" xfId="0" applyFont="1" applyFill="1" applyBorder="1"/>
    <xf numFmtId="167" fontId="7" fillId="4" borderId="61" xfId="0" applyNumberFormat="1" applyFont="1" applyFill="1" applyBorder="1"/>
    <xf numFmtId="0" fontId="35" fillId="4" borderId="0" xfId="0" applyFont="1" applyFill="1" applyBorder="1"/>
    <xf numFmtId="169" fontId="35" fillId="4" borderId="12" xfId="0" applyNumberFormat="1" applyFont="1" applyFill="1" applyBorder="1" applyAlignment="1" applyProtection="1">
      <alignment horizontal="center"/>
    </xf>
    <xf numFmtId="169" fontId="35" fillId="4" borderId="13" xfId="0" applyNumberFormat="1" applyFont="1" applyFill="1" applyBorder="1" applyAlignment="1" applyProtection="1">
      <alignment horizontal="center"/>
    </xf>
    <xf numFmtId="0" fontId="5" fillId="4" borderId="15" xfId="0" applyFont="1" applyFill="1" applyBorder="1"/>
    <xf numFmtId="169" fontId="28" fillId="4" borderId="48" xfId="0" applyNumberFormat="1" applyFont="1" applyFill="1" applyBorder="1" applyAlignment="1" applyProtection="1">
      <alignment horizontal="left"/>
    </xf>
    <xf numFmtId="0" fontId="28" fillId="4" borderId="49" xfId="0" applyFont="1" applyFill="1" applyBorder="1"/>
    <xf numFmtId="172" fontId="28" fillId="4" borderId="49" xfId="2" applyNumberFormat="1" applyFont="1" applyFill="1" applyBorder="1" applyProtection="1"/>
    <xf numFmtId="170" fontId="28" fillId="4" borderId="54" xfId="0" applyNumberFormat="1" applyFont="1" applyFill="1" applyBorder="1" applyProtection="1"/>
    <xf numFmtId="0" fontId="35" fillId="4" borderId="18" xfId="0" applyFont="1" applyFill="1" applyBorder="1"/>
    <xf numFmtId="169" fontId="35" fillId="4" borderId="18" xfId="0" applyNumberFormat="1" applyFont="1" applyFill="1" applyBorder="1" applyAlignment="1" applyProtection="1">
      <alignment horizontal="left"/>
    </xf>
    <xf numFmtId="169" fontId="35" fillId="4" borderId="18" xfId="0" applyNumberFormat="1" applyFont="1" applyFill="1" applyBorder="1" applyAlignment="1" applyProtection="1">
      <alignment horizontal="center"/>
    </xf>
    <xf numFmtId="169" fontId="35" fillId="4" borderId="1" xfId="0" applyNumberFormat="1" applyFont="1" applyFill="1" applyBorder="1" applyAlignment="1" applyProtection="1">
      <alignment horizontal="center"/>
    </xf>
    <xf numFmtId="0" fontId="35" fillId="4" borderId="1" xfId="0" applyFont="1" applyFill="1" applyBorder="1" applyAlignment="1">
      <alignment horizontal="center"/>
    </xf>
    <xf numFmtId="0" fontId="41" fillId="4" borderId="5" xfId="0" applyFont="1" applyFill="1" applyBorder="1"/>
    <xf numFmtId="0" fontId="6" fillId="4" borderId="5" xfId="0" applyFont="1" applyFill="1" applyBorder="1"/>
    <xf numFmtId="169" fontId="41" fillId="4" borderId="5" xfId="0" applyNumberFormat="1" applyFont="1" applyFill="1" applyBorder="1" applyAlignment="1" applyProtection="1">
      <alignment horizontal="center"/>
    </xf>
    <xf numFmtId="169" fontId="32" fillId="4" borderId="2" xfId="0" applyNumberFormat="1" applyFont="1" applyFill="1" applyBorder="1" applyAlignment="1" applyProtection="1"/>
    <xf numFmtId="0" fontId="32" fillId="4" borderId="2" xfId="0" applyFont="1" applyFill="1" applyBorder="1"/>
    <xf numFmtId="167" fontId="7" fillId="4" borderId="2" xfId="2" applyNumberFormat="1" applyFont="1" applyFill="1" applyBorder="1" applyProtection="1"/>
    <xf numFmtId="170" fontId="32" fillId="4" borderId="2" xfId="0" applyNumberFormat="1" applyFont="1" applyFill="1" applyBorder="1" applyProtection="1"/>
    <xf numFmtId="9" fontId="0" fillId="0" borderId="0" xfId="0" applyNumberFormat="1"/>
    <xf numFmtId="0" fontId="0" fillId="0" borderId="27" xfId="0" applyFill="1" applyBorder="1"/>
    <xf numFmtId="17" fontId="0" fillId="0" borderId="0" xfId="0" applyNumberFormat="1" applyBorder="1"/>
    <xf numFmtId="43" fontId="0" fillId="0" borderId="0" xfId="2" applyFont="1" applyBorder="1"/>
    <xf numFmtId="0" fontId="7" fillId="0" borderId="2" xfId="0" applyFont="1" applyFill="1" applyBorder="1"/>
    <xf numFmtId="0" fontId="7" fillId="4" borderId="60" xfId="0" applyFont="1" applyFill="1" applyBorder="1"/>
    <xf numFmtId="167" fontId="7" fillId="4" borderId="60" xfId="2" applyNumberFormat="1" applyFont="1" applyFill="1" applyBorder="1"/>
    <xf numFmtId="0" fontId="7" fillId="4" borderId="62" xfId="0" applyFont="1" applyFill="1" applyBorder="1"/>
    <xf numFmtId="0" fontId="7" fillId="5" borderId="2" xfId="0" applyFont="1" applyFill="1" applyBorder="1"/>
    <xf numFmtId="167" fontId="7" fillId="5" borderId="2" xfId="2" applyNumberFormat="1" applyFont="1" applyFill="1" applyBorder="1" applyAlignment="1">
      <alignment horizontal="center"/>
    </xf>
    <xf numFmtId="0" fontId="7" fillId="5" borderId="64" xfId="0" applyFont="1" applyFill="1" applyBorder="1"/>
    <xf numFmtId="0" fontId="7" fillId="5" borderId="65" xfId="0" applyFont="1" applyFill="1" applyBorder="1"/>
    <xf numFmtId="0" fontId="7" fillId="5" borderId="66" xfId="0" applyFont="1" applyFill="1" applyBorder="1"/>
    <xf numFmtId="0" fontId="7" fillId="0" borderId="25" xfId="0" applyFont="1" applyBorder="1"/>
    <xf numFmtId="167" fontId="7" fillId="0" borderId="6" xfId="2" applyNumberFormat="1" applyFont="1" applyBorder="1" applyAlignment="1">
      <alignment horizontal="center"/>
    </xf>
    <xf numFmtId="0" fontId="7" fillId="5" borderId="36" xfId="0" applyFont="1" applyFill="1" applyBorder="1" applyAlignment="1">
      <alignment horizontal="center"/>
    </xf>
    <xf numFmtId="0" fontId="7" fillId="5" borderId="31" xfId="0" applyFont="1" applyFill="1" applyBorder="1" applyAlignment="1">
      <alignment horizontal="center"/>
    </xf>
    <xf numFmtId="0" fontId="7" fillId="5" borderId="67" xfId="0" applyFont="1" applyFill="1" applyBorder="1" applyAlignment="1">
      <alignment horizontal="center"/>
    </xf>
    <xf numFmtId="169" fontId="38" fillId="0" borderId="0" xfId="0" applyNumberFormat="1" applyFont="1" applyFill="1" applyAlignment="1" applyProtection="1">
      <alignment horizontal="left"/>
    </xf>
    <xf numFmtId="169" fontId="8" fillId="0" borderId="0" xfId="0" applyNumberFormat="1" applyFont="1" applyFill="1" applyAlignment="1" applyProtection="1">
      <alignment horizontal="left"/>
    </xf>
    <xf numFmtId="0" fontId="9" fillId="0" borderId="32" xfId="0" applyFont="1" applyBorder="1" applyAlignment="1">
      <alignment horizontal="right"/>
    </xf>
    <xf numFmtId="170" fontId="9" fillId="0" borderId="35" xfId="0" applyNumberFormat="1" applyFont="1" applyBorder="1" applyAlignment="1">
      <alignment horizontal="center"/>
    </xf>
    <xf numFmtId="0" fontId="9" fillId="0" borderId="33" xfId="0" applyFont="1" applyBorder="1" applyAlignment="1">
      <alignment horizontal="center"/>
    </xf>
    <xf numFmtId="2" fontId="9" fillId="0" borderId="34" xfId="0" applyNumberFormat="1" applyFont="1" applyBorder="1" applyAlignment="1">
      <alignment horizontal="center"/>
    </xf>
    <xf numFmtId="0" fontId="7" fillId="0" borderId="32" xfId="0" applyFont="1" applyBorder="1" applyAlignment="1">
      <alignment horizontal="right"/>
    </xf>
    <xf numFmtId="170" fontId="7" fillId="0" borderId="35" xfId="0" applyNumberFormat="1" applyFont="1" applyBorder="1" applyAlignment="1">
      <alignment horizontal="center"/>
    </xf>
    <xf numFmtId="0" fontId="7" fillId="0" borderId="33" xfId="0" applyFont="1" applyBorder="1" applyAlignment="1">
      <alignment horizontal="center"/>
    </xf>
    <xf numFmtId="2" fontId="7" fillId="0" borderId="34" xfId="0" applyNumberFormat="1" applyFont="1" applyBorder="1" applyAlignment="1">
      <alignment horizontal="center"/>
    </xf>
    <xf numFmtId="0" fontId="7" fillId="0" borderId="36" xfId="0" applyFont="1" applyBorder="1"/>
    <xf numFmtId="169" fontId="7" fillId="0" borderId="0" xfId="0" applyNumberFormat="1" applyFont="1" applyFill="1" applyAlignment="1" applyProtection="1">
      <alignment horizontal="left"/>
    </xf>
    <xf numFmtId="169" fontId="9" fillId="0" borderId="0" xfId="0" applyNumberFormat="1" applyFont="1" applyFill="1" applyAlignment="1" applyProtection="1">
      <alignment horizontal="left"/>
    </xf>
    <xf numFmtId="0" fontId="9" fillId="0" borderId="11" xfId="0" applyFont="1" applyBorder="1"/>
    <xf numFmtId="1" fontId="9" fillId="0" borderId="13" xfId="0" applyNumberFormat="1" applyFont="1" applyBorder="1" applyAlignment="1">
      <alignment horizontal="center"/>
    </xf>
    <xf numFmtId="2" fontId="9" fillId="0" borderId="14" xfId="0" applyNumberFormat="1" applyFont="1" applyBorder="1" applyAlignment="1">
      <alignment horizontal="center"/>
    </xf>
    <xf numFmtId="169" fontId="7" fillId="0" borderId="32" xfId="0" applyNumberFormat="1" applyFont="1" applyFill="1" applyBorder="1" applyAlignment="1" applyProtection="1">
      <alignment horizontal="left"/>
    </xf>
    <xf numFmtId="169" fontId="7" fillId="0" borderId="35" xfId="0" applyNumberFormat="1" applyFont="1" applyFill="1" applyBorder="1" applyAlignment="1" applyProtection="1">
      <alignment horizontal="left"/>
    </xf>
    <xf numFmtId="169" fontId="7" fillId="0" borderId="21" xfId="0" applyNumberFormat="1" applyFont="1" applyFill="1" applyBorder="1" applyAlignment="1" applyProtection="1">
      <alignment horizontal="left"/>
    </xf>
    <xf numFmtId="169" fontId="7" fillId="0" borderId="24" xfId="0" applyNumberFormat="1" applyFont="1" applyFill="1" applyBorder="1" applyAlignment="1" applyProtection="1">
      <alignment horizontal="left"/>
    </xf>
    <xf numFmtId="0" fontId="9" fillId="0" borderId="0" xfId="0" applyFont="1" applyFill="1" applyBorder="1"/>
    <xf numFmtId="0" fontId="9" fillId="0" borderId="68" xfId="0" applyFont="1" applyFill="1" applyBorder="1"/>
    <xf numFmtId="1" fontId="7" fillId="0" borderId="13" xfId="0" applyNumberFormat="1" applyFont="1" applyFill="1" applyBorder="1" applyAlignment="1">
      <alignment horizontal="center"/>
    </xf>
    <xf numFmtId="169" fontId="7" fillId="0" borderId="33" xfId="0" applyNumberFormat="1" applyFont="1" applyFill="1" applyBorder="1" applyAlignment="1" applyProtection="1">
      <alignment horizontal="left"/>
    </xf>
    <xf numFmtId="2" fontId="7" fillId="0" borderId="14" xfId="0" applyNumberFormat="1" applyFont="1" applyFill="1" applyBorder="1" applyAlignment="1">
      <alignment horizontal="center"/>
    </xf>
    <xf numFmtId="2" fontId="7" fillId="0" borderId="45" xfId="0" applyNumberFormat="1" applyFont="1" applyBorder="1" applyAlignment="1">
      <alignment horizontal="center"/>
    </xf>
    <xf numFmtId="0" fontId="7" fillId="0" borderId="36" xfId="0" applyFont="1" applyBorder="1" applyAlignment="1">
      <alignment horizontal="right"/>
    </xf>
    <xf numFmtId="0" fontId="7" fillId="0" borderId="45" xfId="0" applyFont="1" applyBorder="1" applyAlignment="1">
      <alignment horizontal="center"/>
    </xf>
    <xf numFmtId="0" fontId="39" fillId="0" borderId="2" xfId="0" applyFont="1" applyBorder="1"/>
    <xf numFmtId="0" fontId="42" fillId="0" borderId="2" xfId="0" applyFont="1" applyBorder="1"/>
    <xf numFmtId="0" fontId="42" fillId="0" borderId="2" xfId="0" applyFont="1" applyBorder="1" applyAlignment="1">
      <alignment horizontal="center"/>
    </xf>
    <xf numFmtId="167" fontId="42" fillId="0" borderId="2" xfId="2" applyNumberFormat="1" applyFont="1" applyBorder="1" applyAlignment="1">
      <alignment horizontal="center"/>
    </xf>
    <xf numFmtId="1" fontId="42" fillId="0" borderId="2" xfId="0" applyNumberFormat="1" applyFont="1" applyBorder="1" applyAlignment="1">
      <alignment horizontal="center"/>
    </xf>
    <xf numFmtId="43" fontId="42" fillId="0" borderId="2" xfId="2" applyNumberFormat="1" applyFont="1" applyBorder="1" applyAlignment="1">
      <alignment horizontal="center"/>
    </xf>
    <xf numFmtId="166" fontId="42" fillId="0" borderId="2" xfId="0" applyNumberFormat="1" applyFont="1" applyBorder="1" applyAlignment="1">
      <alignment horizontal="center"/>
    </xf>
    <xf numFmtId="0" fontId="7" fillId="5" borderId="2" xfId="0" applyFont="1" applyFill="1" applyBorder="1" applyAlignment="1">
      <alignment horizontal="center"/>
    </xf>
    <xf numFmtId="0" fontId="43" fillId="0" borderId="2" xfId="0" applyFont="1" applyBorder="1"/>
    <xf numFmtId="0" fontId="43" fillId="0" borderId="2" xfId="0" applyFont="1" applyBorder="1" applyAlignment="1">
      <alignment horizontal="center"/>
    </xf>
    <xf numFmtId="167" fontId="43" fillId="0" borderId="2" xfId="2" applyNumberFormat="1" applyFont="1" applyBorder="1" applyAlignment="1">
      <alignment horizontal="center"/>
    </xf>
    <xf numFmtId="1" fontId="0" fillId="0" borderId="56" xfId="0" applyNumberFormat="1" applyBorder="1" applyAlignment="1">
      <alignment horizontal="center"/>
    </xf>
    <xf numFmtId="0" fontId="43" fillId="0" borderId="0" xfId="0" applyFont="1" applyFill="1" applyBorder="1"/>
    <xf numFmtId="175" fontId="7" fillId="0" borderId="0" xfId="3" applyNumberFormat="1" applyFont="1" applyFill="1" applyBorder="1"/>
    <xf numFmtId="16" fontId="0" fillId="0" borderId="2" xfId="0" applyNumberFormat="1" applyBorder="1" applyAlignment="1">
      <alignment horizontal="center"/>
    </xf>
    <xf numFmtId="0" fontId="8" fillId="0" borderId="2" xfId="0" applyFont="1" applyFill="1" applyBorder="1" applyAlignment="1">
      <alignment horizontal="center"/>
    </xf>
    <xf numFmtId="0" fontId="38" fillId="5" borderId="2" xfId="0" applyFont="1" applyFill="1" applyBorder="1" applyAlignment="1">
      <alignment horizontal="center" vertical="justify"/>
    </xf>
    <xf numFmtId="0" fontId="7" fillId="0" borderId="0" xfId="0" applyFont="1" applyFill="1" applyBorder="1"/>
    <xf numFmtId="2" fontId="7" fillId="4" borderId="0" xfId="0" applyNumberFormat="1" applyFont="1" applyFill="1"/>
    <xf numFmtId="0" fontId="7" fillId="4" borderId="0" xfId="0" applyFont="1" applyFill="1"/>
    <xf numFmtId="2" fontId="7" fillId="5" borderId="0" xfId="0" applyNumberFormat="1" applyFont="1" applyFill="1"/>
    <xf numFmtId="0" fontId="7" fillId="5" borderId="0" xfId="0" applyFont="1" applyFill="1"/>
    <xf numFmtId="167" fontId="9" fillId="0" borderId="0" xfId="2" applyNumberFormat="1" applyFont="1" applyBorder="1" applyAlignment="1" applyProtection="1">
      <alignment horizontal="center"/>
    </xf>
    <xf numFmtId="0" fontId="7" fillId="6" borderId="2" xfId="0" applyFont="1" applyFill="1" applyBorder="1"/>
    <xf numFmtId="167" fontId="7" fillId="6" borderId="2" xfId="2" applyNumberFormat="1" applyFont="1" applyFill="1" applyBorder="1"/>
    <xf numFmtId="165" fontId="7" fillId="6" borderId="2" xfId="3" applyNumberFormat="1" applyFont="1" applyFill="1" applyBorder="1"/>
    <xf numFmtId="175" fontId="7" fillId="6" borderId="2" xfId="3" applyNumberFormat="1" applyFont="1" applyFill="1" applyBorder="1"/>
    <xf numFmtId="0" fontId="40" fillId="6" borderId="2" xfId="0" applyFont="1" applyFill="1" applyBorder="1" applyAlignment="1">
      <alignment horizontal="center"/>
    </xf>
    <xf numFmtId="0" fontId="40" fillId="5" borderId="2" xfId="0" applyFont="1" applyFill="1" applyBorder="1" applyAlignment="1">
      <alignment horizontal="center"/>
    </xf>
    <xf numFmtId="0" fontId="44" fillId="3" borderId="56" xfId="0" applyFont="1" applyFill="1" applyBorder="1"/>
    <xf numFmtId="0" fontId="44" fillId="3" borderId="38" xfId="0" applyFont="1" applyFill="1" applyBorder="1"/>
    <xf numFmtId="0" fontId="44" fillId="3" borderId="57" xfId="0" applyFont="1" applyFill="1" applyBorder="1"/>
    <xf numFmtId="1" fontId="7" fillId="3" borderId="2" xfId="0" applyNumberFormat="1" applyFont="1" applyFill="1" applyBorder="1" applyAlignment="1">
      <alignment horizontal="center"/>
    </xf>
    <xf numFmtId="2" fontId="0" fillId="0" borderId="0" xfId="0" applyNumberFormat="1" applyBorder="1"/>
    <xf numFmtId="175" fontId="7" fillId="2" borderId="0" xfId="3" applyNumberFormat="1" applyFont="1" applyFill="1" applyBorder="1"/>
    <xf numFmtId="0" fontId="7" fillId="2" borderId="0" xfId="0" applyFont="1" applyFill="1" applyBorder="1"/>
    <xf numFmtId="0" fontId="44" fillId="0" borderId="2" xfId="0" applyFont="1" applyBorder="1"/>
    <xf numFmtId="0" fontId="44" fillId="0" borderId="2" xfId="0" applyFont="1" applyBorder="1" applyAlignment="1">
      <alignment horizontal="center"/>
    </xf>
    <xf numFmtId="167" fontId="44" fillId="0" borderId="2" xfId="2" applyNumberFormat="1" applyFont="1" applyBorder="1" applyAlignment="1">
      <alignment horizontal="center"/>
    </xf>
    <xf numFmtId="0" fontId="44" fillId="0" borderId="0" xfId="0" applyFont="1" applyAlignment="1">
      <alignment horizontal="center"/>
    </xf>
    <xf numFmtId="1" fontId="39" fillId="0" borderId="2" xfId="0" applyNumberFormat="1" applyFont="1" applyBorder="1" applyAlignment="1">
      <alignment horizontal="center"/>
    </xf>
    <xf numFmtId="0" fontId="7" fillId="3" borderId="32" xfId="0" applyFont="1" applyFill="1" applyBorder="1"/>
    <xf numFmtId="0" fontId="7" fillId="3" borderId="21" xfId="0" applyFont="1" applyFill="1" applyBorder="1"/>
    <xf numFmtId="0" fontId="7" fillId="3" borderId="33" xfId="0" applyFont="1" applyFill="1" applyBorder="1"/>
    <xf numFmtId="0" fontId="9" fillId="0" borderId="56" xfId="0" applyFont="1" applyBorder="1" applyAlignment="1">
      <alignment horizontal="center"/>
    </xf>
    <xf numFmtId="0" fontId="0" fillId="0" borderId="19" xfId="0" applyFill="1" applyBorder="1"/>
    <xf numFmtId="166" fontId="0" fillId="0" borderId="19" xfId="0" applyNumberFormat="1" applyFill="1" applyBorder="1"/>
    <xf numFmtId="2" fontId="0" fillId="0" borderId="19" xfId="0" applyNumberFormat="1" applyFill="1" applyBorder="1"/>
    <xf numFmtId="0" fontId="45" fillId="0" borderId="1" xfId="0" applyFont="1" applyFill="1" applyBorder="1"/>
    <xf numFmtId="166" fontId="45" fillId="0" borderId="1" xfId="0" applyNumberFormat="1" applyFont="1" applyFill="1" applyBorder="1"/>
    <xf numFmtId="0" fontId="19" fillId="0" borderId="24" xfId="0" applyFont="1" applyBorder="1" applyAlignment="1" applyProtection="1">
      <alignment horizontal="left"/>
    </xf>
    <xf numFmtId="0" fontId="19" fillId="0" borderId="0" xfId="0" applyFont="1" applyBorder="1" applyAlignment="1" applyProtection="1">
      <alignment horizontal="left"/>
    </xf>
    <xf numFmtId="0" fontId="19" fillId="0" borderId="68" xfId="0" applyFont="1" applyBorder="1"/>
    <xf numFmtId="0" fontId="19" fillId="0" borderId="33" xfId="0" applyFont="1" applyBorder="1" applyAlignment="1" applyProtection="1">
      <alignment horizontal="left"/>
    </xf>
    <xf numFmtId="0" fontId="19" fillId="0" borderId="34" xfId="0" applyFont="1" applyBorder="1"/>
    <xf numFmtId="0" fontId="19" fillId="0" borderId="20" xfId="0" applyFont="1" applyBorder="1"/>
    <xf numFmtId="167" fontId="19" fillId="0" borderId="34" xfId="2" applyNumberFormat="1" applyFont="1" applyBorder="1"/>
    <xf numFmtId="0" fontId="24" fillId="0" borderId="2" xfId="0" applyFont="1" applyBorder="1" applyAlignment="1" applyProtection="1">
      <alignment horizontal="left"/>
    </xf>
    <xf numFmtId="0" fontId="7" fillId="0" borderId="56" xfId="0" applyFont="1" applyBorder="1"/>
    <xf numFmtId="0" fontId="7" fillId="0" borderId="57" xfId="0" applyFont="1" applyBorder="1"/>
    <xf numFmtId="167" fontId="7" fillId="0" borderId="38" xfId="2" applyNumberFormat="1" applyFont="1" applyBorder="1"/>
    <xf numFmtId="0" fontId="7" fillId="4" borderId="69" xfId="0" applyFont="1" applyFill="1" applyBorder="1"/>
    <xf numFmtId="0" fontId="7" fillId="4" borderId="70" xfId="0" applyFont="1" applyFill="1" applyBorder="1"/>
    <xf numFmtId="14" fontId="24" fillId="0" borderId="0" xfId="0" applyNumberFormat="1" applyFont="1" applyAlignment="1" applyProtection="1">
      <alignment horizontal="left"/>
    </xf>
    <xf numFmtId="17" fontId="0" fillId="0" borderId="2" xfId="0" applyNumberFormat="1" applyBorder="1"/>
    <xf numFmtId="43" fontId="0" fillId="0" borderId="2" xfId="2" applyFont="1" applyBorder="1" applyAlignment="1">
      <alignment horizontal="center"/>
    </xf>
    <xf numFmtId="0" fontId="0" fillId="0" borderId="27" xfId="0" applyFill="1" applyBorder="1" applyAlignment="1">
      <alignment horizontal="center"/>
    </xf>
    <xf numFmtId="43" fontId="7" fillId="2" borderId="2" xfId="2" applyFont="1" applyFill="1" applyBorder="1"/>
    <xf numFmtId="0" fontId="0" fillId="2" borderId="2" xfId="0" applyFill="1" applyBorder="1"/>
    <xf numFmtId="17" fontId="7" fillId="0" borderId="2" xfId="0" applyNumberFormat="1" applyFont="1" applyBorder="1" applyAlignment="1">
      <alignment horizontal="center"/>
    </xf>
    <xf numFmtId="43" fontId="7" fillId="0" borderId="2" xfId="2" applyFont="1" applyBorder="1" applyAlignment="1">
      <alignment horizontal="center"/>
    </xf>
    <xf numFmtId="2" fontId="7" fillId="0" borderId="2" xfId="0" applyNumberFormat="1" applyFont="1" applyBorder="1" applyAlignment="1">
      <alignment horizontal="center"/>
    </xf>
    <xf numFmtId="175" fontId="7" fillId="5" borderId="2" xfId="3" applyNumberFormat="1" applyFont="1" applyFill="1" applyBorder="1" applyAlignment="1">
      <alignment horizontal="center"/>
    </xf>
    <xf numFmtId="175" fontId="7" fillId="2" borderId="63" xfId="0" applyNumberFormat="1" applyFont="1" applyFill="1" applyBorder="1" applyAlignment="1">
      <alignment horizontal="center"/>
    </xf>
    <xf numFmtId="0" fontId="1" fillId="0" borderId="32" xfId="0" applyFont="1" applyBorder="1"/>
    <xf numFmtId="0" fontId="1" fillId="0" borderId="35" xfId="0" applyFont="1" applyBorder="1"/>
    <xf numFmtId="0" fontId="1" fillId="0" borderId="21" xfId="0" applyFont="1" applyBorder="1"/>
    <xf numFmtId="0" fontId="1" fillId="0" borderId="33" xfId="0" applyFont="1" applyBorder="1"/>
    <xf numFmtId="2" fontId="1" fillId="0" borderId="34" xfId="0" applyNumberFormat="1" applyFont="1" applyBorder="1"/>
    <xf numFmtId="0" fontId="1" fillId="0" borderId="20" xfId="0" applyFont="1" applyBorder="1"/>
    <xf numFmtId="0" fontId="0" fillId="0" borderId="32" xfId="0" applyFill="1" applyBorder="1"/>
    <xf numFmtId="0" fontId="0" fillId="0" borderId="21" xfId="0" applyFill="1" applyBorder="1"/>
    <xf numFmtId="0" fontId="0" fillId="0" borderId="33" xfId="0" applyFill="1" applyBorder="1"/>
    <xf numFmtId="2" fontId="0" fillId="0" borderId="34" xfId="0" applyNumberFormat="1" applyFill="1" applyBorder="1"/>
    <xf numFmtId="0" fontId="0" fillId="0" borderId="20" xfId="0" applyFill="1" applyBorder="1"/>
    <xf numFmtId="167" fontId="0" fillId="0" borderId="35" xfId="2" applyNumberFormat="1" applyFont="1" applyFill="1" applyBorder="1"/>
    <xf numFmtId="0" fontId="24" fillId="0" borderId="32" xfId="0" applyFont="1" applyBorder="1" applyAlignment="1" applyProtection="1">
      <alignment horizontal="left"/>
    </xf>
    <xf numFmtId="0" fontId="24" fillId="0" borderId="35" xfId="0" applyFont="1" applyBorder="1" applyAlignment="1" applyProtection="1">
      <alignment horizontal="left"/>
    </xf>
    <xf numFmtId="0" fontId="24" fillId="0" borderId="21" xfId="0" applyFont="1" applyBorder="1" applyAlignment="1" applyProtection="1">
      <alignment horizontal="left"/>
    </xf>
    <xf numFmtId="0" fontId="24" fillId="0" borderId="33" xfId="0" applyFont="1" applyBorder="1" applyAlignment="1" applyProtection="1">
      <alignment horizontal="left"/>
    </xf>
    <xf numFmtId="0" fontId="24" fillId="0" borderId="34" xfId="0" applyFont="1" applyBorder="1" applyAlignment="1" applyProtection="1">
      <alignment horizontal="left"/>
    </xf>
    <xf numFmtId="0" fontId="24" fillId="0" borderId="20" xfId="0" applyFont="1" applyBorder="1" applyAlignment="1" applyProtection="1">
      <alignment horizontal="left"/>
    </xf>
    <xf numFmtId="169" fontId="30" fillId="4" borderId="15" xfId="0" applyNumberFormat="1" applyFont="1" applyFill="1" applyBorder="1" applyAlignment="1" applyProtection="1">
      <alignment horizontal="center"/>
    </xf>
    <xf numFmtId="1" fontId="1" fillId="0" borderId="13" xfId="0" applyNumberFormat="1" applyFont="1" applyBorder="1" applyAlignment="1">
      <alignment horizontal="center"/>
    </xf>
    <xf numFmtId="0" fontId="7" fillId="0" borderId="16" xfId="0" applyFont="1" applyBorder="1" applyAlignment="1">
      <alignment horizontal="center"/>
    </xf>
    <xf numFmtId="2" fontId="7" fillId="0" borderId="14" xfId="0" applyNumberFormat="1" applyFont="1" applyBorder="1" applyAlignment="1">
      <alignment horizontal="center"/>
    </xf>
    <xf numFmtId="0" fontId="46" fillId="0" borderId="2" xfId="0" applyFont="1" applyBorder="1"/>
    <xf numFmtId="167" fontId="7" fillId="0" borderId="2" xfId="2" applyNumberFormat="1" applyFont="1" applyBorder="1" applyAlignment="1">
      <alignment horizontal="center"/>
    </xf>
    <xf numFmtId="0" fontId="7" fillId="7" borderId="27" xfId="0" applyFont="1" applyFill="1" applyBorder="1"/>
    <xf numFmtId="2" fontId="7" fillId="7" borderId="2" xfId="0" applyNumberFormat="1" applyFont="1" applyFill="1" applyBorder="1"/>
    <xf numFmtId="0" fontId="7" fillId="7" borderId="0" xfId="0" applyFont="1" applyFill="1"/>
    <xf numFmtId="167" fontId="19" fillId="0" borderId="0" xfId="2" applyNumberFormat="1" applyFont="1" applyBorder="1" applyProtection="1"/>
    <xf numFmtId="167" fontId="19" fillId="0" borderId="38" xfId="2" applyNumberFormat="1" applyFont="1" applyBorder="1"/>
    <xf numFmtId="167" fontId="19" fillId="0" borderId="38" xfId="2" applyNumberFormat="1" applyFont="1" applyBorder="1" applyProtection="1"/>
    <xf numFmtId="167" fontId="21" fillId="0" borderId="38" xfId="2" applyNumberFormat="1" applyFont="1" applyFill="1" applyBorder="1" applyAlignment="1" applyProtection="1">
      <alignment horizontal="left"/>
    </xf>
    <xf numFmtId="167" fontId="0" fillId="0" borderId="3" xfId="2" applyNumberFormat="1" applyFont="1" applyBorder="1"/>
    <xf numFmtId="167" fontId="1" fillId="0" borderId="3" xfId="2" applyNumberFormat="1" applyFont="1" applyBorder="1"/>
    <xf numFmtId="167" fontId="0" fillId="0" borderId="18" xfId="2" applyNumberFormat="1" applyFont="1" applyBorder="1"/>
    <xf numFmtId="167" fontId="0" fillId="0" borderId="1" xfId="2" applyNumberFormat="1" applyFont="1" applyFill="1" applyBorder="1"/>
    <xf numFmtId="167" fontId="0" fillId="0" borderId="3" xfId="2" applyNumberFormat="1" applyFont="1" applyFill="1" applyBorder="1"/>
    <xf numFmtId="167" fontId="1" fillId="0" borderId="3" xfId="2" applyNumberFormat="1" applyFont="1" applyFill="1" applyBorder="1"/>
    <xf numFmtId="167" fontId="0" fillId="0" borderId="19" xfId="2" applyNumberFormat="1" applyFont="1" applyFill="1" applyBorder="1"/>
    <xf numFmtId="167" fontId="45" fillId="0" borderId="1" xfId="2" applyNumberFormat="1" applyFont="1" applyFill="1" applyBorder="1"/>
    <xf numFmtId="167" fontId="29" fillId="0" borderId="0" xfId="2" applyNumberFormat="1" applyFont="1" applyFill="1" applyBorder="1" applyAlignment="1" applyProtection="1">
      <alignment horizontal="center"/>
    </xf>
    <xf numFmtId="167" fontId="9" fillId="0" borderId="37" xfId="2" applyNumberFormat="1" applyFont="1" applyBorder="1"/>
    <xf numFmtId="167" fontId="29" fillId="0" borderId="51" xfId="2" applyNumberFormat="1" applyFont="1" applyFill="1" applyBorder="1"/>
    <xf numFmtId="167" fontId="29" fillId="0" borderId="37" xfId="2" applyNumberFormat="1" applyFont="1" applyFill="1" applyBorder="1" applyAlignment="1" applyProtection="1">
      <alignment horizontal="left"/>
    </xf>
    <xf numFmtId="167" fontId="9" fillId="0" borderId="1" xfId="2" applyNumberFormat="1" applyFont="1" applyBorder="1" applyAlignment="1" applyProtection="1">
      <alignment horizontal="center"/>
    </xf>
    <xf numFmtId="167" fontId="9" fillId="0" borderId="3" xfId="2" applyNumberFormat="1" applyFont="1" applyBorder="1" applyAlignment="1" applyProtection="1">
      <alignment horizontal="center"/>
    </xf>
    <xf numFmtId="167" fontId="1" fillId="0" borderId="3" xfId="2" applyNumberFormat="1" applyFont="1" applyBorder="1" applyAlignment="1" applyProtection="1">
      <alignment horizontal="center"/>
    </xf>
    <xf numFmtId="167" fontId="9" fillId="0" borderId="1" xfId="2" applyNumberFormat="1" applyFont="1" applyBorder="1" applyAlignment="1">
      <alignment horizontal="center"/>
    </xf>
    <xf numFmtId="167" fontId="1" fillId="0" borderId="1" xfId="2" applyNumberFormat="1" applyFont="1" applyBorder="1" applyAlignment="1" applyProtection="1">
      <alignment horizontal="center"/>
    </xf>
    <xf numFmtId="167" fontId="3" fillId="0" borderId="1" xfId="2" applyNumberFormat="1" applyFont="1" applyBorder="1" applyAlignment="1" applyProtection="1">
      <alignment horizontal="center"/>
    </xf>
    <xf numFmtId="167" fontId="32" fillId="0" borderId="37" xfId="2" applyNumberFormat="1" applyFont="1" applyFill="1" applyBorder="1"/>
    <xf numFmtId="167" fontId="29" fillId="0" borderId="35" xfId="2" applyNumberFormat="1" applyFont="1" applyFill="1" applyBorder="1"/>
    <xf numFmtId="167" fontId="29" fillId="0" borderId="37" xfId="2" applyNumberFormat="1" applyFont="1" applyFill="1" applyBorder="1"/>
    <xf numFmtId="167" fontId="29" fillId="0" borderId="37" xfId="2" applyNumberFormat="1" applyFont="1" applyFill="1" applyBorder="1" applyProtection="1"/>
    <xf numFmtId="167" fontId="29" fillId="0" borderId="0" xfId="2" applyNumberFormat="1" applyFont="1" applyFill="1" applyBorder="1" applyAlignment="1">
      <alignment horizontal="left"/>
    </xf>
    <xf numFmtId="167" fontId="29" fillId="0" borderId="35" xfId="2" applyNumberFormat="1" applyFont="1" applyFill="1" applyBorder="1" applyAlignment="1" applyProtection="1">
      <alignment horizontal="left"/>
    </xf>
    <xf numFmtId="167" fontId="29" fillId="0" borderId="49" xfId="2" applyNumberFormat="1" applyFont="1" applyFill="1" applyBorder="1"/>
    <xf numFmtId="167" fontId="29" fillId="0" borderId="49" xfId="2" applyNumberFormat="1" applyFont="1" applyFill="1" applyBorder="1" applyProtection="1"/>
    <xf numFmtId="167" fontId="9" fillId="0" borderId="12" xfId="2" applyNumberFormat="1" applyFont="1" applyBorder="1"/>
    <xf numFmtId="167" fontId="29" fillId="0" borderId="2" xfId="2" applyNumberFormat="1" applyFont="1" applyFill="1" applyBorder="1" applyAlignment="1" applyProtection="1">
      <alignment horizontal="left"/>
    </xf>
    <xf numFmtId="167" fontId="32" fillId="0" borderId="2" xfId="2" applyNumberFormat="1" applyFont="1" applyFill="1" applyBorder="1"/>
    <xf numFmtId="167" fontId="29" fillId="0" borderId="2" xfId="2" applyNumberFormat="1" applyFont="1" applyFill="1" applyBorder="1"/>
    <xf numFmtId="167" fontId="32" fillId="0" borderId="2" xfId="2" applyNumberFormat="1" applyFont="1" applyFill="1" applyBorder="1" applyAlignment="1" applyProtection="1">
      <alignment horizontal="left"/>
    </xf>
    <xf numFmtId="169" fontId="28" fillId="0" borderId="2" xfId="0" applyNumberFormat="1" applyFont="1" applyFill="1" applyBorder="1" applyAlignment="1" applyProtection="1">
      <alignment horizontal="left"/>
    </xf>
    <xf numFmtId="2" fontId="7" fillId="0" borderId="2" xfId="0" applyNumberFormat="1" applyFont="1" applyBorder="1"/>
    <xf numFmtId="1" fontId="7" fillId="0" borderId="2" xfId="0" applyNumberFormat="1" applyFont="1" applyBorder="1"/>
    <xf numFmtId="2" fontId="7" fillId="7" borderId="0" xfId="0" applyNumberFormat="1" applyFont="1" applyFill="1" applyBorder="1"/>
    <xf numFmtId="0" fontId="7" fillId="7" borderId="0" xfId="0" applyFont="1" applyFill="1" applyBorder="1"/>
    <xf numFmtId="0" fontId="40" fillId="0" borderId="2" xfId="0" applyFont="1" applyBorder="1"/>
    <xf numFmtId="0" fontId="3" fillId="0" borderId="2" xfId="0" applyFont="1" applyBorder="1" applyAlignment="1">
      <alignment horizontal="center"/>
    </xf>
    <xf numFmtId="0" fontId="0" fillId="0" borderId="24" xfId="0" applyFill="1" applyBorder="1" applyAlignment="1">
      <alignment horizontal="center"/>
    </xf>
    <xf numFmtId="175" fontId="7" fillId="5" borderId="2" xfId="3" applyNumberFormat="1" applyFont="1" applyFill="1" applyBorder="1"/>
    <xf numFmtId="167" fontId="1" fillId="0" borderId="39" xfId="2" applyNumberFormat="1" applyFont="1" applyBorder="1"/>
    <xf numFmtId="167" fontId="1" fillId="0" borderId="2" xfId="2" applyNumberFormat="1" applyFont="1" applyBorder="1"/>
    <xf numFmtId="1" fontId="1" fillId="0" borderId="10" xfId="0" applyNumberFormat="1" applyFont="1" applyBorder="1"/>
    <xf numFmtId="14" fontId="3" fillId="0" borderId="1" xfId="0" applyNumberFormat="1" applyFont="1" applyBorder="1" applyAlignment="1">
      <alignment horizontal="center"/>
    </xf>
    <xf numFmtId="167" fontId="23" fillId="0" borderId="37" xfId="2" applyNumberFormat="1" applyFont="1" applyBorder="1" applyProtection="1"/>
    <xf numFmtId="9" fontId="7" fillId="0" borderId="2" xfId="0" applyNumberFormat="1" applyFont="1" applyBorder="1"/>
    <xf numFmtId="0" fontId="28" fillId="0" borderId="0" xfId="0" applyFont="1"/>
    <xf numFmtId="0" fontId="33" fillId="0" borderId="71" xfId="0" applyFont="1" applyBorder="1" applyAlignment="1" applyProtection="1">
      <alignment horizontal="left"/>
    </xf>
    <xf numFmtId="0" fontId="33" fillId="0" borderId="71" xfId="0" applyFont="1" applyBorder="1" applyAlignment="1" applyProtection="1">
      <alignment horizontal="center"/>
    </xf>
    <xf numFmtId="0" fontId="1" fillId="0" borderId="71" xfId="0" applyFont="1" applyBorder="1" applyAlignment="1" applyProtection="1">
      <alignment horizontal="center"/>
    </xf>
    <xf numFmtId="167" fontId="1" fillId="0" borderId="71" xfId="2" applyNumberFormat="1" applyFont="1" applyBorder="1" applyAlignment="1" applyProtection="1">
      <alignment horizontal="center"/>
    </xf>
    <xf numFmtId="170" fontId="1" fillId="0" borderId="71" xfId="0" applyNumberFormat="1" applyFont="1" applyBorder="1" applyAlignment="1" applyProtection="1">
      <alignment horizontal="center"/>
    </xf>
    <xf numFmtId="0" fontId="35" fillId="0" borderId="0" xfId="0" applyFont="1" applyFill="1" applyBorder="1" applyAlignment="1" applyProtection="1"/>
    <xf numFmtId="0" fontId="35" fillId="0" borderId="0" xfId="0" applyFont="1" applyFill="1" applyBorder="1" applyAlignment="1">
      <alignment horizontal="center"/>
    </xf>
    <xf numFmtId="0" fontId="28" fillId="0" borderId="0" xfId="0" applyFont="1" applyFill="1" applyBorder="1" applyAlignment="1">
      <alignment horizontal="center"/>
    </xf>
    <xf numFmtId="167" fontId="28" fillId="0" borderId="0" xfId="2" applyNumberFormat="1" applyFont="1" applyFill="1" applyBorder="1" applyAlignment="1" applyProtection="1">
      <alignment horizontal="center"/>
    </xf>
    <xf numFmtId="0" fontId="35" fillId="4" borderId="40" xfId="0" applyFont="1" applyFill="1" applyBorder="1" applyAlignment="1" applyProtection="1"/>
    <xf numFmtId="0" fontId="35" fillId="4" borderId="40" xfId="0" applyFont="1" applyFill="1" applyBorder="1" applyAlignment="1">
      <alignment horizontal="center"/>
    </xf>
    <xf numFmtId="0" fontId="28" fillId="4" borderId="40" xfId="0" applyFont="1" applyFill="1" applyBorder="1" applyAlignment="1">
      <alignment horizontal="center"/>
    </xf>
    <xf numFmtId="167" fontId="28" fillId="4" borderId="40" xfId="2" applyNumberFormat="1" applyFont="1" applyFill="1" applyBorder="1" applyAlignment="1" applyProtection="1">
      <alignment horizontal="center"/>
    </xf>
    <xf numFmtId="167" fontId="7" fillId="0" borderId="0" xfId="0" applyNumberFormat="1" applyFont="1" applyBorder="1"/>
    <xf numFmtId="0" fontId="7" fillId="0" borderId="11" xfId="0" applyFont="1" applyBorder="1" applyAlignment="1" applyProtection="1">
      <alignment horizontal="left"/>
    </xf>
    <xf numFmtId="172" fontId="7" fillId="0" borderId="12" xfId="2" applyNumberFormat="1" applyFont="1" applyBorder="1"/>
    <xf numFmtId="167" fontId="7" fillId="0" borderId="12" xfId="0" applyNumberFormat="1" applyFont="1" applyBorder="1"/>
    <xf numFmtId="172" fontId="7" fillId="0" borderId="17" xfId="0" applyNumberFormat="1" applyFont="1" applyBorder="1"/>
    <xf numFmtId="0" fontId="7" fillId="0" borderId="8" xfId="0" applyFont="1" applyBorder="1"/>
    <xf numFmtId="167" fontId="28" fillId="0" borderId="37" xfId="2" applyNumberFormat="1" applyFont="1" applyFill="1" applyBorder="1" applyAlignment="1" applyProtection="1">
      <alignment horizontal="left"/>
    </xf>
    <xf numFmtId="0" fontId="7" fillId="0" borderId="45" xfId="0" applyFont="1" applyBorder="1"/>
    <xf numFmtId="0" fontId="7" fillId="0" borderId="2" xfId="0" applyFont="1" applyFill="1" applyBorder="1" applyAlignment="1">
      <alignment horizontal="center"/>
    </xf>
    <xf numFmtId="0" fontId="9" fillId="0" borderId="2" xfId="0" applyFont="1" applyFill="1" applyBorder="1" applyAlignment="1">
      <alignment horizontal="left"/>
    </xf>
    <xf numFmtId="0" fontId="24" fillId="0" borderId="0" xfId="0" applyFont="1" applyFill="1" applyBorder="1" applyAlignment="1" applyProtection="1">
      <alignment horizontal="left"/>
    </xf>
    <xf numFmtId="0" fontId="48" fillId="0" borderId="2" xfId="0" applyFont="1" applyBorder="1"/>
    <xf numFmtId="0" fontId="3" fillId="0" borderId="2" xfId="0" applyFont="1" applyBorder="1"/>
    <xf numFmtId="0" fontId="39" fillId="0" borderId="0" xfId="0" applyFont="1"/>
    <xf numFmtId="0" fontId="40" fillId="0" borderId="2" xfId="0" applyFont="1" applyBorder="1" applyAlignment="1">
      <alignment horizontal="center"/>
    </xf>
    <xf numFmtId="0" fontId="40" fillId="0" borderId="0" xfId="0" applyFont="1"/>
    <xf numFmtId="0" fontId="47" fillId="0" borderId="0" xfId="0" applyFont="1"/>
    <xf numFmtId="0" fontId="44" fillId="0" borderId="0" xfId="0" applyFont="1" applyAlignment="1">
      <alignment horizontal="left" indent="4"/>
    </xf>
    <xf numFmtId="0" fontId="44" fillId="0" borderId="0" xfId="0" applyFont="1"/>
    <xf numFmtId="169" fontId="28" fillId="0" borderId="56" xfId="0" applyNumberFormat="1" applyFont="1" applyFill="1" applyBorder="1" applyAlignment="1" applyProtection="1">
      <alignment horizontal="left"/>
    </xf>
    <xf numFmtId="3" fontId="7" fillId="0" borderId="38" xfId="0" applyNumberFormat="1" applyFont="1" applyBorder="1"/>
    <xf numFmtId="0" fontId="7" fillId="0" borderId="38" xfId="0" applyFont="1" applyBorder="1"/>
    <xf numFmtId="0" fontId="9" fillId="0" borderId="38" xfId="0" applyFont="1" applyBorder="1"/>
    <xf numFmtId="169" fontId="29" fillId="0" borderId="38" xfId="0" applyNumberFormat="1" applyFont="1" applyFill="1" applyBorder="1" applyAlignment="1" applyProtection="1">
      <alignment horizontal="left"/>
    </xf>
    <xf numFmtId="0" fontId="9" fillId="0" borderId="57" xfId="0" applyFont="1" applyBorder="1"/>
    <xf numFmtId="4" fontId="7" fillId="0" borderId="38" xfId="0" applyNumberFormat="1" applyFont="1" applyBorder="1"/>
    <xf numFmtId="169" fontId="28" fillId="0" borderId="38" xfId="0" applyNumberFormat="1" applyFont="1" applyFill="1" applyBorder="1" applyAlignment="1" applyProtection="1">
      <alignment horizontal="left"/>
    </xf>
    <xf numFmtId="2" fontId="7" fillId="0" borderId="38" xfId="0" applyNumberFormat="1" applyFont="1" applyBorder="1"/>
    <xf numFmtId="172" fontId="7" fillId="0" borderId="38" xfId="2" applyNumberFormat="1" applyFont="1" applyBorder="1"/>
    <xf numFmtId="9" fontId="7" fillId="0" borderId="38" xfId="0" applyNumberFormat="1" applyFont="1" applyBorder="1"/>
    <xf numFmtId="172" fontId="7" fillId="0" borderId="38" xfId="0" applyNumberFormat="1" applyFont="1" applyBorder="1"/>
    <xf numFmtId="1" fontId="7" fillId="0" borderId="2" xfId="0" applyNumberFormat="1" applyFont="1" applyBorder="1" applyAlignment="1">
      <alignment horizontal="center"/>
    </xf>
    <xf numFmtId="0" fontId="0" fillId="5" borderId="2" xfId="0" applyFill="1" applyBorder="1"/>
    <xf numFmtId="0" fontId="9" fillId="5" borderId="2" xfId="0" applyFont="1" applyFill="1" applyBorder="1" applyAlignment="1">
      <alignment horizontal="center"/>
    </xf>
    <xf numFmtId="0" fontId="0" fillId="5" borderId="2" xfId="0" applyFill="1" applyBorder="1" applyAlignment="1">
      <alignment horizontal="center"/>
    </xf>
    <xf numFmtId="1" fontId="0" fillId="5" borderId="2" xfId="0" applyNumberFormat="1" applyFill="1" applyBorder="1" applyAlignment="1">
      <alignment horizontal="center"/>
    </xf>
    <xf numFmtId="0" fontId="48" fillId="0" borderId="2" xfId="0" applyFont="1" applyBorder="1" applyAlignment="1">
      <alignment vertical="justify"/>
    </xf>
    <xf numFmtId="0" fontId="0" fillId="0" borderId="2" xfId="0" applyBorder="1" applyAlignment="1">
      <alignment horizontal="left"/>
    </xf>
    <xf numFmtId="0" fontId="7" fillId="5" borderId="2" xfId="0" applyFont="1" applyFill="1" applyBorder="1" applyAlignment="1">
      <alignment horizontal="right"/>
    </xf>
    <xf numFmtId="0" fontId="42" fillId="0" borderId="2" xfId="0" applyFont="1" applyFill="1" applyBorder="1" applyAlignment="1">
      <alignment horizontal="center"/>
    </xf>
    <xf numFmtId="166" fontId="7" fillId="0" borderId="2" xfId="0" applyNumberFormat="1" applyFont="1" applyBorder="1" applyAlignment="1">
      <alignment horizontal="center"/>
    </xf>
    <xf numFmtId="0" fontId="7" fillId="0" borderId="22" xfId="0" applyFont="1" applyBorder="1"/>
    <xf numFmtId="2" fontId="7" fillId="0" borderId="8" xfId="0" applyNumberFormat="1" applyFont="1" applyBorder="1"/>
    <xf numFmtId="0" fontId="9" fillId="0" borderId="0" xfId="0" applyFont="1" applyAlignment="1">
      <alignment horizontal="center"/>
    </xf>
    <xf numFmtId="167" fontId="0" fillId="0" borderId="2" xfId="2" applyNumberFormat="1" applyFont="1" applyFill="1" applyBorder="1" applyAlignment="1">
      <alignment horizontal="center"/>
    </xf>
    <xf numFmtId="0" fontId="7" fillId="4" borderId="72" xfId="0" applyFont="1" applyFill="1" applyBorder="1"/>
    <xf numFmtId="0" fontId="7" fillId="2" borderId="41" xfId="0" applyFont="1" applyFill="1" applyBorder="1"/>
    <xf numFmtId="0" fontId="7" fillId="8" borderId="2" xfId="0" applyFont="1" applyFill="1" applyBorder="1"/>
    <xf numFmtId="0" fontId="7" fillId="9" borderId="2" xfId="0" applyFont="1" applyFill="1" applyBorder="1"/>
    <xf numFmtId="167" fontId="7" fillId="9" borderId="2" xfId="2" applyNumberFormat="1" applyFont="1" applyFill="1" applyBorder="1"/>
    <xf numFmtId="0" fontId="0" fillId="8" borderId="0" xfId="0" applyFill="1"/>
    <xf numFmtId="167" fontId="7" fillId="8" borderId="2" xfId="2" applyNumberFormat="1" applyFont="1" applyFill="1" applyBorder="1"/>
    <xf numFmtId="167" fontId="7" fillId="8" borderId="72" xfId="2" applyNumberFormat="1" applyFont="1" applyFill="1" applyBorder="1"/>
    <xf numFmtId="167" fontId="58" fillId="0" borderId="2" xfId="2" applyNumberFormat="1" applyFont="1" applyBorder="1" applyAlignment="1">
      <alignment horizontal="center"/>
    </xf>
    <xf numFmtId="0" fontId="42" fillId="0" borderId="2" xfId="0" applyFont="1" applyBorder="1" applyAlignment="1">
      <alignment horizontal="left"/>
    </xf>
    <xf numFmtId="0" fontId="0" fillId="10" borderId="2" xfId="0" applyFill="1" applyBorder="1" applyAlignment="1">
      <alignment horizontal="center"/>
    </xf>
    <xf numFmtId="168" fontId="7" fillId="0" borderId="2" xfId="2" applyNumberFormat="1" applyFont="1" applyBorder="1"/>
    <xf numFmtId="0" fontId="3" fillId="0" borderId="0" xfId="0" applyFont="1"/>
    <xf numFmtId="0" fontId="52" fillId="8" borderId="2" xfId="0" applyFont="1" applyFill="1" applyBorder="1" applyAlignment="1">
      <alignment horizontal="center" vertical="justify"/>
    </xf>
    <xf numFmtId="0" fontId="37" fillId="0" borderId="0" xfId="0" applyFont="1"/>
    <xf numFmtId="0" fontId="53" fillId="0" borderId="2" xfId="0" applyFont="1" applyBorder="1"/>
    <xf numFmtId="167" fontId="53" fillId="0" borderId="2" xfId="2" applyNumberFormat="1" applyFont="1" applyBorder="1"/>
    <xf numFmtId="0" fontId="53" fillId="0" borderId="2" xfId="0" applyFont="1" applyBorder="1" applyAlignment="1">
      <alignment horizontal="center"/>
    </xf>
    <xf numFmtId="167" fontId="53" fillId="0" borderId="2" xfId="2" applyNumberFormat="1" applyFont="1" applyBorder="1" applyAlignment="1">
      <alignment horizontal="center"/>
    </xf>
    <xf numFmtId="0" fontId="3" fillId="0" borderId="0" xfId="0" applyFont="1" applyFill="1" applyBorder="1"/>
    <xf numFmtId="0" fontId="58" fillId="0" borderId="2" xfId="0" applyFont="1" applyBorder="1" applyAlignment="1">
      <alignment horizontal="center"/>
    </xf>
    <xf numFmtId="0" fontId="59" fillId="0" borderId="2" xfId="0" applyFont="1" applyBorder="1"/>
    <xf numFmtId="0" fontId="60" fillId="0" borderId="2" xfId="0" applyFont="1" applyBorder="1"/>
    <xf numFmtId="0" fontId="60" fillId="0" borderId="2" xfId="0" applyFont="1" applyBorder="1" applyAlignment="1">
      <alignment horizontal="center"/>
    </xf>
    <xf numFmtId="0" fontId="59" fillId="0" borderId="2" xfId="0" applyFont="1" applyBorder="1" applyAlignment="1">
      <alignment horizontal="center"/>
    </xf>
    <xf numFmtId="0" fontId="0" fillId="0" borderId="27" xfId="0" applyBorder="1"/>
    <xf numFmtId="0" fontId="58"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9" fontId="0" fillId="0" borderId="0" xfId="4" applyFont="1" applyBorder="1"/>
    <xf numFmtId="0" fontId="58" fillId="0" borderId="2" xfId="0" applyFont="1" applyBorder="1"/>
    <xf numFmtId="0" fontId="61" fillId="0" borderId="2" xfId="0" applyFont="1" applyBorder="1" applyAlignment="1">
      <alignment horizontal="center"/>
    </xf>
    <xf numFmtId="0" fontId="62" fillId="2" borderId="2" xfId="0" applyFont="1" applyFill="1" applyBorder="1"/>
    <xf numFmtId="0" fontId="62" fillId="5" borderId="2" xfId="0" applyFont="1" applyFill="1" applyBorder="1" applyAlignment="1">
      <alignment horizontal="center"/>
    </xf>
    <xf numFmtId="0" fontId="63" fillId="0" borderId="2" xfId="0" applyFont="1" applyBorder="1" applyAlignment="1">
      <alignment horizontal="center"/>
    </xf>
    <xf numFmtId="0" fontId="64" fillId="0" borderId="2" xfId="0" applyFont="1" applyBorder="1" applyAlignment="1">
      <alignment horizontal="center"/>
    </xf>
    <xf numFmtId="1" fontId="64" fillId="0" borderId="2" xfId="0" applyNumberFormat="1" applyFont="1" applyBorder="1"/>
    <xf numFmtId="1" fontId="64" fillId="0" borderId="2" xfId="0" applyNumberFormat="1" applyFont="1" applyBorder="1" applyAlignment="1">
      <alignment horizontal="center"/>
    </xf>
    <xf numFmtId="0" fontId="64" fillId="0" borderId="2" xfId="0" applyFont="1" applyBorder="1"/>
    <xf numFmtId="166" fontId="63" fillId="0" borderId="2" xfId="0" applyNumberFormat="1" applyFont="1" applyBorder="1" applyAlignment="1">
      <alignment horizontal="center"/>
    </xf>
    <xf numFmtId="167" fontId="63" fillId="0" borderId="2" xfId="2" applyNumberFormat="1" applyFont="1" applyBorder="1" applyAlignment="1">
      <alignment horizontal="center"/>
    </xf>
    <xf numFmtId="0" fontId="63" fillId="0" borderId="2" xfId="0" applyFont="1" applyBorder="1"/>
    <xf numFmtId="1" fontId="58" fillId="0" borderId="2" xfId="0" applyNumberFormat="1" applyFont="1" applyBorder="1" applyAlignment="1">
      <alignment horizontal="center"/>
    </xf>
    <xf numFmtId="167" fontId="53" fillId="0" borderId="2" xfId="0" applyNumberFormat="1" applyFont="1" applyBorder="1" applyAlignment="1">
      <alignment horizontal="right"/>
    </xf>
    <xf numFmtId="14" fontId="7" fillId="0" borderId="0" xfId="0" applyNumberFormat="1" applyFont="1" applyAlignment="1">
      <alignment horizontal="center"/>
    </xf>
    <xf numFmtId="0" fontId="58" fillId="5" borderId="2" xfId="0" applyFont="1" applyFill="1" applyBorder="1" applyAlignment="1">
      <alignment horizontal="center"/>
    </xf>
    <xf numFmtId="0" fontId="52" fillId="0" borderId="0" xfId="0" applyFont="1"/>
    <xf numFmtId="0" fontId="54" fillId="0" borderId="0" xfId="0" applyFont="1"/>
    <xf numFmtId="0" fontId="0" fillId="0" borderId="17" xfId="0" applyBorder="1"/>
    <xf numFmtId="0" fontId="7" fillId="0" borderId="37" xfId="0" applyFont="1" applyBorder="1"/>
    <xf numFmtId="0" fontId="7" fillId="0" borderId="73" xfId="0" applyFont="1" applyBorder="1"/>
    <xf numFmtId="0" fontId="7" fillId="0" borderId="73" xfId="0" applyFont="1" applyBorder="1" applyAlignment="1">
      <alignment horizontal="center"/>
    </xf>
    <xf numFmtId="0" fontId="0" fillId="0" borderId="24" xfId="0" applyBorder="1"/>
    <xf numFmtId="4" fontId="0" fillId="0" borderId="24" xfId="0" applyNumberFormat="1" applyBorder="1" applyAlignment="1">
      <alignment horizontal="center"/>
    </xf>
    <xf numFmtId="0" fontId="0" fillId="0" borderId="74" xfId="0" applyBorder="1"/>
    <xf numFmtId="0" fontId="0" fillId="0" borderId="74" xfId="0" applyBorder="1" applyAlignment="1">
      <alignment horizontal="center"/>
    </xf>
    <xf numFmtId="0" fontId="55" fillId="0" borderId="0" xfId="0" applyFont="1"/>
    <xf numFmtId="180" fontId="0" fillId="0" borderId="0" xfId="0" applyNumberFormat="1" applyAlignment="1">
      <alignment horizontal="left"/>
    </xf>
    <xf numFmtId="167" fontId="0" fillId="0" borderId="0" xfId="2" applyNumberFormat="1" applyFont="1"/>
    <xf numFmtId="0" fontId="3" fillId="0" borderId="24" xfId="0" applyFont="1" applyBorder="1"/>
    <xf numFmtId="0" fontId="65" fillId="0" borderId="0" xfId="0" applyFont="1"/>
    <xf numFmtId="0" fontId="0" fillId="10" borderId="1" xfId="0" applyFill="1" applyBorder="1"/>
    <xf numFmtId="167" fontId="56" fillId="10" borderId="1" xfId="2" applyNumberFormat="1" applyFont="1" applyFill="1" applyBorder="1"/>
    <xf numFmtId="166" fontId="0" fillId="10" borderId="1" xfId="0" applyNumberFormat="1" applyFill="1" applyBorder="1"/>
    <xf numFmtId="2" fontId="0" fillId="10" borderId="1" xfId="0" applyNumberFormat="1" applyFill="1" applyBorder="1"/>
    <xf numFmtId="0" fontId="3" fillId="0" borderId="2" xfId="0" applyFont="1" applyFill="1" applyBorder="1"/>
    <xf numFmtId="0" fontId="3" fillId="0" borderId="2" xfId="0" applyFont="1" applyBorder="1" applyAlignment="1">
      <alignment horizontal="left"/>
    </xf>
    <xf numFmtId="0" fontId="3" fillId="0" borderId="27" xfId="0" applyFont="1" applyFill="1" applyBorder="1" applyAlignment="1">
      <alignment horizontal="center"/>
    </xf>
    <xf numFmtId="167" fontId="40" fillId="0" borderId="2" xfId="2" applyNumberFormat="1" applyFont="1" applyBorder="1" applyAlignment="1">
      <alignment horizontal="center"/>
    </xf>
    <xf numFmtId="167" fontId="64" fillId="0" borderId="2" xfId="2" applyNumberFormat="1" applyFont="1" applyBorder="1" applyAlignment="1">
      <alignment horizontal="center"/>
    </xf>
    <xf numFmtId="167" fontId="64" fillId="0" borderId="2" xfId="2" applyNumberFormat="1" applyFont="1" applyFill="1" applyBorder="1" applyAlignment="1">
      <alignment horizontal="center"/>
    </xf>
    <xf numFmtId="167" fontId="9" fillId="0" borderId="2" xfId="2" applyNumberFormat="1" applyFont="1" applyFill="1" applyBorder="1" applyAlignment="1">
      <alignment horizontal="center"/>
    </xf>
    <xf numFmtId="167" fontId="63" fillId="0" borderId="2" xfId="2" applyNumberFormat="1" applyFont="1" applyFill="1" applyBorder="1" applyAlignment="1">
      <alignment horizontal="center"/>
    </xf>
    <xf numFmtId="167" fontId="7" fillId="0" borderId="2" xfId="2" applyNumberFormat="1" applyFont="1" applyFill="1" applyBorder="1" applyAlignment="1">
      <alignment horizontal="center"/>
    </xf>
    <xf numFmtId="167" fontId="0" fillId="0" borderId="2" xfId="0" applyNumberFormat="1" applyBorder="1" applyAlignment="1">
      <alignment horizontal="center"/>
    </xf>
    <xf numFmtId="167" fontId="3" fillId="0" borderId="2" xfId="2" applyNumberFormat="1" applyFont="1" applyBorder="1" applyAlignment="1">
      <alignment horizontal="center"/>
    </xf>
    <xf numFmtId="167" fontId="59" fillId="0" borderId="2" xfId="2" applyNumberFormat="1" applyFont="1" applyBorder="1" applyAlignment="1">
      <alignment horizontal="center"/>
    </xf>
    <xf numFmtId="0" fontId="3" fillId="0" borderId="2" xfId="0" applyFont="1" applyFill="1" applyBorder="1" applyAlignment="1">
      <alignment horizontal="center"/>
    </xf>
    <xf numFmtId="167" fontId="48" fillId="0" borderId="2" xfId="2" applyNumberFormat="1" applyFont="1" applyBorder="1"/>
    <xf numFmtId="167" fontId="48" fillId="0" borderId="2" xfId="2" applyNumberFormat="1" applyFont="1" applyBorder="1" applyAlignment="1">
      <alignment horizontal="center"/>
    </xf>
    <xf numFmtId="167" fontId="58" fillId="0" borderId="2" xfId="2" applyNumberFormat="1" applyFont="1" applyBorder="1"/>
    <xf numFmtId="167" fontId="61" fillId="0" borderId="2" xfId="2" applyNumberFormat="1" applyFont="1" applyBorder="1" applyAlignment="1">
      <alignment horizontal="center"/>
    </xf>
    <xf numFmtId="167" fontId="67" fillId="0" borderId="2" xfId="2" applyNumberFormat="1" applyFont="1" applyBorder="1" applyAlignment="1" applyProtection="1">
      <alignment horizontal="center"/>
    </xf>
    <xf numFmtId="167" fontId="64" fillId="0" borderId="2" xfId="2" applyNumberFormat="1" applyFont="1" applyBorder="1"/>
    <xf numFmtId="167" fontId="68" fillId="0" borderId="2" xfId="2" applyNumberFormat="1" applyFont="1" applyBorder="1" applyAlignment="1" applyProtection="1">
      <alignment horizontal="center"/>
    </xf>
    <xf numFmtId="167" fontId="64" fillId="0" borderId="0" xfId="2" applyNumberFormat="1" applyFont="1"/>
    <xf numFmtId="167" fontId="24" fillId="0" borderId="2" xfId="2" applyNumberFormat="1" applyFont="1" applyBorder="1" applyAlignment="1" applyProtection="1">
      <alignment horizontal="center"/>
    </xf>
    <xf numFmtId="0" fontId="61" fillId="0" borderId="2" xfId="0" applyFont="1" applyBorder="1"/>
    <xf numFmtId="169" fontId="69" fillId="0" borderId="2" xfId="0" applyNumberFormat="1" applyFont="1" applyFill="1" applyBorder="1" applyAlignment="1" applyProtection="1">
      <alignment horizontal="left"/>
    </xf>
    <xf numFmtId="0" fontId="70" fillId="0" borderId="0" xfId="0" applyFont="1"/>
    <xf numFmtId="0" fontId="66" fillId="0" borderId="0" xfId="0" applyFont="1"/>
    <xf numFmtId="0" fontId="61" fillId="0" borderId="0" xfId="0" applyFont="1"/>
    <xf numFmtId="0" fontId="65" fillId="0" borderId="24" xfId="0" applyFont="1" applyBorder="1"/>
    <xf numFmtId="0" fontId="65" fillId="0" borderId="24" xfId="0" applyFont="1" applyBorder="1" applyAlignment="1">
      <alignment horizontal="center"/>
    </xf>
    <xf numFmtId="0" fontId="61" fillId="0" borderId="0" xfId="0" applyFont="1" applyAlignment="1">
      <alignment horizontal="center"/>
    </xf>
    <xf numFmtId="0" fontId="71" fillId="0" borderId="0" xfId="0" applyFont="1"/>
    <xf numFmtId="0" fontId="71" fillId="0" borderId="2" xfId="0" applyFont="1" applyBorder="1"/>
    <xf numFmtId="167" fontId="72" fillId="0" borderId="2" xfId="2" applyNumberFormat="1" applyFont="1" applyBorder="1"/>
    <xf numFmtId="0" fontId="71" fillId="0" borderId="24" xfId="0" applyFont="1" applyBorder="1"/>
    <xf numFmtId="0" fontId="0" fillId="0" borderId="0" xfId="0" applyAlignment="1"/>
    <xf numFmtId="0" fontId="61" fillId="0" borderId="24" xfId="0" applyFont="1" applyBorder="1" applyAlignment="1"/>
    <xf numFmtId="4" fontId="65" fillId="0" borderId="24" xfId="0" applyNumberFormat="1" applyFont="1" applyBorder="1" applyAlignment="1">
      <alignment horizontal="center"/>
    </xf>
    <xf numFmtId="0" fontId="70" fillId="0" borderId="24" xfId="0" applyFont="1" applyBorder="1"/>
    <xf numFmtId="0" fontId="71" fillId="0" borderId="24" xfId="0" applyFont="1" applyBorder="1" applyAlignment="1">
      <alignment horizontal="center"/>
    </xf>
    <xf numFmtId="4" fontId="71" fillId="0" borderId="24" xfId="0" applyNumberFormat="1" applyFont="1" applyBorder="1" applyAlignment="1">
      <alignment horizontal="center"/>
    </xf>
    <xf numFmtId="0" fontId="49" fillId="0" borderId="72" xfId="0" applyFont="1" applyBorder="1"/>
    <xf numFmtId="167" fontId="73" fillId="0" borderId="72" xfId="2" applyNumberFormat="1" applyFont="1" applyBorder="1" applyAlignment="1" applyProtection="1">
      <alignment horizontal="center"/>
    </xf>
    <xf numFmtId="167" fontId="74" fillId="0" borderId="72" xfId="2" applyNumberFormat="1" applyFont="1" applyBorder="1" applyAlignment="1" applyProtection="1">
      <alignment horizontal="center"/>
    </xf>
    <xf numFmtId="4" fontId="71" fillId="0" borderId="2" xfId="0" applyNumberFormat="1" applyFont="1" applyBorder="1" applyAlignment="1">
      <alignment horizontal="center"/>
    </xf>
    <xf numFmtId="0" fontId="61" fillId="0" borderId="2" xfId="0" applyFont="1" applyFill="1" applyBorder="1" applyAlignment="1">
      <alignment horizontal="center"/>
    </xf>
    <xf numFmtId="167" fontId="61" fillId="0" borderId="2" xfId="2" applyNumberFormat="1" applyFont="1" applyFill="1" applyBorder="1" applyAlignment="1">
      <alignment horizontal="center"/>
    </xf>
    <xf numFmtId="0" fontId="3" fillId="0" borderId="8" xfId="0" applyFont="1" applyBorder="1"/>
    <xf numFmtId="43" fontId="3" fillId="0" borderId="0" xfId="2" applyFont="1"/>
    <xf numFmtId="167" fontId="7" fillId="0" borderId="2" xfId="0" applyNumberFormat="1" applyFont="1" applyBorder="1"/>
    <xf numFmtId="17" fontId="3" fillId="0" borderId="0" xfId="0" applyNumberFormat="1" applyFont="1"/>
    <xf numFmtId="167" fontId="24" fillId="0" borderId="0" xfId="2" applyNumberFormat="1" applyFont="1" applyBorder="1" applyAlignment="1" applyProtection="1">
      <alignment horizontal="left"/>
    </xf>
    <xf numFmtId="0" fontId="24" fillId="0" borderId="0" xfId="0" applyFont="1" applyBorder="1" applyAlignment="1" applyProtection="1">
      <alignment horizontal="left"/>
    </xf>
    <xf numFmtId="167" fontId="24" fillId="0" borderId="68" xfId="2" applyNumberFormat="1" applyFont="1" applyBorder="1" applyAlignment="1" applyProtection="1">
      <alignment horizontal="left"/>
    </xf>
    <xf numFmtId="0" fontId="23" fillId="0" borderId="2" xfId="0" applyFont="1" applyBorder="1" applyAlignment="1" applyProtection="1">
      <alignment horizontal="left"/>
    </xf>
    <xf numFmtId="172" fontId="7" fillId="0" borderId="2" xfId="0" applyNumberFormat="1" applyFont="1" applyBorder="1"/>
    <xf numFmtId="0" fontId="7" fillId="0" borderId="2" xfId="0" applyFont="1" applyBorder="1" applyAlignment="1" applyProtection="1">
      <alignment horizontal="left"/>
    </xf>
    <xf numFmtId="172" fontId="7" fillId="0" borderId="2" xfId="0" applyNumberFormat="1" applyFont="1" applyBorder="1" applyAlignment="1">
      <alignment horizontal="center"/>
    </xf>
    <xf numFmtId="169" fontId="29" fillId="0" borderId="11" xfId="0" applyNumberFormat="1" applyFont="1" applyFill="1" applyBorder="1" applyAlignment="1" applyProtection="1">
      <alignment horizontal="left"/>
    </xf>
    <xf numFmtId="0" fontId="9" fillId="0" borderId="12" xfId="0" applyFont="1" applyBorder="1" applyAlignment="1">
      <alignment horizontal="center"/>
    </xf>
    <xf numFmtId="167" fontId="7" fillId="0" borderId="17" xfId="2" applyNumberFormat="1" applyFont="1" applyBorder="1"/>
    <xf numFmtId="0" fontId="0" fillId="2" borderId="0" xfId="0" applyFill="1" applyBorder="1"/>
    <xf numFmtId="167" fontId="7" fillId="8" borderId="72" xfId="0" applyNumberFormat="1" applyFont="1" applyFill="1" applyBorder="1"/>
    <xf numFmtId="0" fontId="7" fillId="2" borderId="24" xfId="0" applyFont="1" applyFill="1" applyBorder="1"/>
    <xf numFmtId="169" fontId="37" fillId="0" borderId="0" xfId="0" applyNumberFormat="1" applyFont="1" applyFill="1" applyAlignment="1" applyProtection="1">
      <alignment horizontal="left"/>
    </xf>
    <xf numFmtId="0" fontId="57" fillId="0" borderId="0" xfId="0" applyFont="1"/>
    <xf numFmtId="167" fontId="40" fillId="0" borderId="2" xfId="2" applyNumberFormat="1" applyFont="1" applyBorder="1"/>
    <xf numFmtId="167" fontId="75" fillId="0" borderId="2" xfId="2" applyNumberFormat="1" applyFont="1" applyBorder="1" applyAlignment="1" applyProtection="1">
      <alignment horizontal="center"/>
    </xf>
    <xf numFmtId="167" fontId="73" fillId="0" borderId="2" xfId="2" applyNumberFormat="1" applyFont="1" applyBorder="1" applyAlignment="1" applyProtection="1">
      <alignment horizontal="center"/>
    </xf>
    <xf numFmtId="167" fontId="74" fillId="0" borderId="2" xfId="2" applyNumberFormat="1" applyFont="1" applyBorder="1" applyAlignment="1" applyProtection="1">
      <alignment horizontal="center"/>
    </xf>
    <xf numFmtId="0" fontId="7" fillId="0" borderId="72" xfId="0" applyFont="1" applyBorder="1"/>
    <xf numFmtId="167" fontId="7" fillId="0" borderId="72" xfId="2" applyNumberFormat="1" applyFont="1" applyBorder="1"/>
    <xf numFmtId="0" fontId="7" fillId="0" borderId="24" xfId="0" applyFont="1" applyBorder="1"/>
    <xf numFmtId="0" fontId="7" fillId="0" borderId="24" xfId="0" applyFont="1" applyBorder="1" applyAlignment="1">
      <alignment horizontal="center"/>
    </xf>
    <xf numFmtId="4" fontId="7" fillId="0" borderId="24" xfId="0" applyNumberFormat="1" applyFont="1" applyBorder="1" applyAlignment="1">
      <alignment horizontal="center"/>
    </xf>
    <xf numFmtId="0" fontId="7" fillId="0" borderId="2" xfId="0" applyFont="1" applyFill="1" applyBorder="1" applyAlignment="1">
      <alignment horizontal="left"/>
    </xf>
    <xf numFmtId="0" fontId="61" fillId="0" borderId="72" xfId="0" applyFont="1" applyBorder="1"/>
    <xf numFmtId="167" fontId="61" fillId="0" borderId="2" xfId="0" applyNumberFormat="1" applyFont="1" applyBorder="1" applyAlignment="1">
      <alignment horizontal="center"/>
    </xf>
    <xf numFmtId="167" fontId="58" fillId="0" borderId="2" xfId="2" applyNumberFormat="1" applyFont="1" applyFill="1" applyBorder="1" applyAlignment="1">
      <alignment horizontal="center"/>
    </xf>
    <xf numFmtId="0" fontId="37" fillId="0" borderId="16" xfId="0" applyFont="1" applyBorder="1"/>
    <xf numFmtId="167" fontId="3" fillId="0" borderId="0" xfId="2" applyNumberFormat="1" applyFont="1"/>
    <xf numFmtId="171" fontId="3" fillId="0" borderId="0" xfId="0" applyNumberFormat="1" applyFont="1"/>
    <xf numFmtId="168" fontId="22" fillId="4" borderId="51" xfId="2" applyNumberFormat="1" applyFont="1" applyFill="1" applyBorder="1" applyProtection="1"/>
    <xf numFmtId="168" fontId="23" fillId="0" borderId="37" xfId="2" applyNumberFormat="1" applyFont="1" applyBorder="1" applyProtection="1"/>
    <xf numFmtId="0" fontId="3" fillId="0" borderId="0" xfId="0" applyFont="1" applyFill="1"/>
    <xf numFmtId="172" fontId="0" fillId="0" borderId="0" xfId="0" applyNumberFormat="1"/>
    <xf numFmtId="0" fontId="3" fillId="5" borderId="2" xfId="0" applyFont="1" applyFill="1" applyBorder="1" applyAlignment="1">
      <alignment horizontal="center"/>
    </xf>
    <xf numFmtId="0" fontId="77" fillId="0" borderId="0" xfId="0" applyFont="1"/>
    <xf numFmtId="0" fontId="0" fillId="0" borderId="24" xfId="0" applyFont="1" applyFill="1" applyBorder="1"/>
    <xf numFmtId="0" fontId="58" fillId="10" borderId="2" xfId="0" applyFont="1" applyFill="1" applyBorder="1"/>
    <xf numFmtId="0" fontId="58" fillId="10" borderId="2" xfId="0" applyFont="1" applyFill="1" applyBorder="1" applyAlignment="1">
      <alignment horizontal="center"/>
    </xf>
    <xf numFmtId="167" fontId="58" fillId="10" borderId="2" xfId="2" applyNumberFormat="1" applyFont="1" applyFill="1" applyBorder="1" applyAlignment="1">
      <alignment horizontal="center"/>
    </xf>
    <xf numFmtId="0" fontId="5" fillId="11" borderId="0" xfId="0" applyFont="1" applyFill="1" applyBorder="1"/>
    <xf numFmtId="167" fontId="7" fillId="11" borderId="0" xfId="2" applyNumberFormat="1" applyFont="1" applyFill="1" applyBorder="1" applyAlignment="1">
      <alignment horizontal="center"/>
    </xf>
    <xf numFmtId="0" fontId="7" fillId="11" borderId="68" xfId="0" applyFont="1" applyFill="1" applyBorder="1"/>
    <xf numFmtId="167" fontId="7" fillId="5" borderId="32" xfId="2" applyNumberFormat="1" applyFont="1" applyFill="1" applyBorder="1" applyAlignment="1">
      <alignment horizontal="left"/>
    </xf>
    <xf numFmtId="167" fontId="7" fillId="3" borderId="33" xfId="0" applyNumberFormat="1" applyFont="1" applyFill="1" applyBorder="1"/>
    <xf numFmtId="0" fontId="38" fillId="5" borderId="72" xfId="0" applyFont="1" applyFill="1" applyBorder="1" applyAlignment="1">
      <alignment horizontal="left"/>
    </xf>
    <xf numFmtId="0" fontId="38" fillId="3" borderId="41" xfId="0" applyFont="1" applyFill="1" applyBorder="1" applyAlignment="1">
      <alignment horizontal="left"/>
    </xf>
    <xf numFmtId="0" fontId="0" fillId="12" borderId="56" xfId="0" applyFill="1" applyBorder="1"/>
    <xf numFmtId="167" fontId="7" fillId="12" borderId="2" xfId="2" applyNumberFormat="1" applyFont="1" applyFill="1" applyBorder="1" applyAlignment="1">
      <alignment horizontal="center"/>
    </xf>
    <xf numFmtId="0" fontId="0" fillId="12" borderId="57" xfId="0" applyFill="1" applyBorder="1"/>
    <xf numFmtId="0" fontId="15" fillId="4" borderId="13" xfId="0" applyFont="1" applyFill="1" applyBorder="1"/>
    <xf numFmtId="0" fontId="15" fillId="5" borderId="14" xfId="0" applyFont="1" applyFill="1" applyBorder="1"/>
    <xf numFmtId="0" fontId="59" fillId="5" borderId="2" xfId="0" applyFont="1" applyFill="1" applyBorder="1" applyAlignment="1">
      <alignment horizontal="center"/>
    </xf>
    <xf numFmtId="0" fontId="59" fillId="2" borderId="2" xfId="0" applyFont="1" applyFill="1" applyBorder="1"/>
    <xf numFmtId="167" fontId="59" fillId="2" borderId="2" xfId="2" applyNumberFormat="1" applyFont="1" applyFill="1" applyBorder="1"/>
    <xf numFmtId="165" fontId="59" fillId="2" borderId="2" xfId="3" applyNumberFormat="1" applyFont="1" applyFill="1" applyBorder="1"/>
    <xf numFmtId="175" fontId="59" fillId="2" borderId="2" xfId="3" applyNumberFormat="1" applyFont="1" applyFill="1" applyBorder="1"/>
    <xf numFmtId="0" fontId="3" fillId="0" borderId="1" xfId="0" applyFont="1" applyFill="1" applyBorder="1"/>
    <xf numFmtId="0" fontId="7" fillId="12" borderId="2" xfId="0" applyFont="1" applyFill="1" applyBorder="1"/>
    <xf numFmtId="0" fontId="23" fillId="12" borderId="37" xfId="0" applyFont="1" applyFill="1" applyBorder="1" applyAlignment="1">
      <alignment horizontal="center"/>
    </xf>
    <xf numFmtId="0" fontId="18" fillId="12" borderId="37" xfId="0" applyFont="1" applyFill="1" applyBorder="1"/>
    <xf numFmtId="0" fontId="18" fillId="12" borderId="45" xfId="0" applyFont="1" applyFill="1" applyBorder="1"/>
    <xf numFmtId="43" fontId="7" fillId="0" borderId="6" xfId="2" applyFont="1" applyBorder="1" applyAlignment="1">
      <alignment horizontal="center"/>
    </xf>
    <xf numFmtId="167" fontId="6" fillId="0" borderId="2" xfId="2" applyNumberFormat="1" applyFont="1" applyFill="1" applyBorder="1" applyAlignment="1">
      <alignment horizontal="center"/>
    </xf>
    <xf numFmtId="43" fontId="7" fillId="0" borderId="2" xfId="0" applyNumberFormat="1" applyFont="1" applyFill="1" applyBorder="1" applyAlignment="1">
      <alignment horizontal="center"/>
    </xf>
    <xf numFmtId="0" fontId="7" fillId="0" borderId="72" xfId="0" applyFont="1" applyBorder="1" applyAlignment="1">
      <alignment horizontal="center"/>
    </xf>
    <xf numFmtId="43" fontId="7" fillId="0" borderId="72" xfId="2" applyFont="1" applyBorder="1" applyAlignment="1">
      <alignment horizontal="center"/>
    </xf>
    <xf numFmtId="167" fontId="7" fillId="0" borderId="2" xfId="0" applyNumberFormat="1" applyFont="1" applyBorder="1" applyAlignment="1">
      <alignment horizontal="center"/>
    </xf>
    <xf numFmtId="0" fontId="5" fillId="8" borderId="2" xfId="0" applyFont="1" applyFill="1" applyBorder="1" applyAlignment="1">
      <alignment horizontal="center"/>
    </xf>
    <xf numFmtId="43" fontId="7" fillId="8" borderId="6" xfId="2" applyFont="1" applyFill="1" applyBorder="1" applyAlignment="1">
      <alignment horizontal="center"/>
    </xf>
    <xf numFmtId="0" fontId="7" fillId="13" borderId="56" xfId="0" applyFont="1" applyFill="1" applyBorder="1"/>
    <xf numFmtId="167" fontId="7" fillId="13" borderId="38" xfId="0" applyNumberFormat="1" applyFont="1" applyFill="1" applyBorder="1" applyAlignment="1"/>
    <xf numFmtId="0" fontId="7" fillId="13" borderId="57" xfId="0" applyFont="1" applyFill="1" applyBorder="1"/>
    <xf numFmtId="0" fontId="0" fillId="0" borderId="72" xfId="0" applyBorder="1"/>
    <xf numFmtId="0" fontId="0" fillId="0" borderId="41" xfId="0" applyBorder="1"/>
    <xf numFmtId="167" fontId="0" fillId="0" borderId="38" xfId="0" applyNumberFormat="1" applyBorder="1"/>
    <xf numFmtId="0" fontId="0" fillId="0" borderId="57" xfId="0" applyBorder="1"/>
    <xf numFmtId="168" fontId="0" fillId="0" borderId="2" xfId="2" applyNumberFormat="1" applyFont="1" applyBorder="1"/>
    <xf numFmtId="4" fontId="0" fillId="0" borderId="0" xfId="0" applyNumberFormat="1" applyProtection="1">
      <protection locked="0"/>
    </xf>
    <xf numFmtId="0" fontId="9" fillId="15" borderId="2" xfId="0" applyFont="1" applyFill="1" applyBorder="1"/>
    <xf numFmtId="0" fontId="9" fillId="15" borderId="2" xfId="0" applyFont="1" applyFill="1" applyBorder="1" applyAlignment="1">
      <alignment horizontal="center"/>
    </xf>
    <xf numFmtId="0" fontId="0" fillId="15" borderId="2" xfId="0" applyFill="1" applyBorder="1" applyAlignment="1">
      <alignment horizontal="center"/>
    </xf>
    <xf numFmtId="1" fontId="7" fillId="15" borderId="2" xfId="0" applyNumberFormat="1" applyFont="1" applyFill="1" applyBorder="1" applyAlignment="1">
      <alignment horizontal="center"/>
    </xf>
    <xf numFmtId="0" fontId="7" fillId="15" borderId="2" xfId="0" applyFont="1" applyFill="1" applyBorder="1"/>
    <xf numFmtId="0" fontId="64" fillId="15" borderId="2" xfId="0" applyFont="1" applyFill="1" applyBorder="1" applyAlignment="1">
      <alignment horizontal="center"/>
    </xf>
    <xf numFmtId="0" fontId="63" fillId="15" borderId="2" xfId="0" applyFont="1" applyFill="1" applyBorder="1" applyAlignment="1">
      <alignment horizontal="center"/>
    </xf>
    <xf numFmtId="1" fontId="63" fillId="15" borderId="2" xfId="0" applyNumberFormat="1" applyFont="1" applyFill="1" applyBorder="1" applyAlignment="1">
      <alignment horizontal="center"/>
    </xf>
    <xf numFmtId="0" fontId="7" fillId="10" borderId="2" xfId="0" applyFont="1" applyFill="1" applyBorder="1"/>
    <xf numFmtId="0" fontId="3" fillId="10" borderId="2" xfId="0" applyFont="1" applyFill="1" applyBorder="1" applyAlignment="1">
      <alignment horizontal="center"/>
    </xf>
    <xf numFmtId="1" fontId="7" fillId="10" borderId="2" xfId="0" applyNumberFormat="1" applyFont="1" applyFill="1" applyBorder="1" applyAlignment="1">
      <alignment horizontal="center"/>
    </xf>
    <xf numFmtId="1" fontId="3" fillId="0" borderId="2" xfId="0" applyNumberFormat="1" applyFont="1" applyBorder="1" applyAlignment="1">
      <alignment horizontal="center"/>
    </xf>
    <xf numFmtId="0" fontId="58" fillId="16" borderId="0" xfId="0" applyFont="1" applyFill="1" applyBorder="1"/>
    <xf numFmtId="0" fontId="61" fillId="16" borderId="2" xfId="0" applyFont="1" applyFill="1" applyBorder="1" applyAlignment="1">
      <alignment horizontal="center"/>
    </xf>
    <xf numFmtId="167" fontId="58" fillId="16" borderId="2" xfId="2" applyNumberFormat="1" applyFont="1" applyFill="1" applyBorder="1"/>
    <xf numFmtId="167" fontId="61" fillId="16" borderId="2" xfId="0" applyNumberFormat="1" applyFont="1" applyFill="1" applyBorder="1" applyAlignment="1">
      <alignment horizontal="center"/>
    </xf>
    <xf numFmtId="167" fontId="61" fillId="16" borderId="2" xfId="2" applyNumberFormat="1" applyFont="1" applyFill="1" applyBorder="1" applyAlignment="1">
      <alignment horizontal="center"/>
    </xf>
    <xf numFmtId="0" fontId="58" fillId="16" borderId="2" xfId="0" applyFont="1" applyFill="1" applyBorder="1"/>
    <xf numFmtId="3" fontId="3" fillId="0" borderId="2" xfId="0" applyNumberFormat="1" applyFont="1" applyBorder="1" applyAlignment="1">
      <alignment horizontal="center"/>
    </xf>
    <xf numFmtId="0" fontId="61" fillId="10" borderId="0" xfId="0" applyFont="1" applyFill="1"/>
    <xf numFmtId="0" fontId="61" fillId="10" borderId="2" xfId="0" applyFont="1" applyFill="1" applyBorder="1"/>
    <xf numFmtId="167" fontId="64" fillId="10" borderId="2" xfId="2" applyNumberFormat="1" applyFont="1" applyFill="1" applyBorder="1"/>
    <xf numFmtId="167" fontId="0" fillId="10" borderId="2" xfId="2" applyNumberFormat="1" applyFont="1" applyFill="1" applyBorder="1" applyAlignment="1">
      <alignment horizontal="center"/>
    </xf>
    <xf numFmtId="0" fontId="65" fillId="14" borderId="2" xfId="0" applyFont="1" applyFill="1" applyBorder="1"/>
    <xf numFmtId="167" fontId="66" fillId="14" borderId="2" xfId="2" applyNumberFormat="1" applyFont="1" applyFill="1" applyBorder="1"/>
    <xf numFmtId="167" fontId="76" fillId="14" borderId="2" xfId="2" applyNumberFormat="1" applyFont="1" applyFill="1" applyBorder="1" applyAlignment="1" applyProtection="1">
      <alignment horizontal="center"/>
    </xf>
    <xf numFmtId="167" fontId="65" fillId="14" borderId="2" xfId="2" applyNumberFormat="1" applyFont="1" applyFill="1" applyBorder="1" applyAlignment="1">
      <alignment horizontal="center"/>
    </xf>
    <xf numFmtId="167" fontId="3" fillId="0" borderId="0" xfId="0" applyNumberFormat="1" applyFont="1"/>
    <xf numFmtId="167" fontId="3" fillId="0" borderId="2" xfId="0" applyNumberFormat="1" applyFont="1" applyFill="1" applyBorder="1" applyAlignment="1">
      <alignment horizontal="center"/>
    </xf>
    <xf numFmtId="0" fontId="39" fillId="14" borderId="2" xfId="0" applyFont="1" applyFill="1" applyBorder="1"/>
    <xf numFmtId="167" fontId="39" fillId="14" borderId="2" xfId="2" applyNumberFormat="1" applyFont="1" applyFill="1" applyBorder="1"/>
    <xf numFmtId="167" fontId="39" fillId="14" borderId="2" xfId="2" applyNumberFormat="1" applyFont="1" applyFill="1" applyBorder="1" applyAlignment="1">
      <alignment horizontal="center"/>
    </xf>
    <xf numFmtId="167" fontId="40" fillId="14" borderId="2" xfId="2" applyNumberFormat="1" applyFont="1" applyFill="1" applyBorder="1" applyAlignment="1">
      <alignment horizontal="center"/>
    </xf>
    <xf numFmtId="0" fontId="70" fillId="14" borderId="2" xfId="0" applyFont="1" applyFill="1" applyBorder="1"/>
    <xf numFmtId="167" fontId="78" fillId="14" borderId="2" xfId="2" applyNumberFormat="1" applyFont="1" applyFill="1" applyBorder="1"/>
    <xf numFmtId="167" fontId="79" fillId="14" borderId="2" xfId="2" applyNumberFormat="1" applyFont="1" applyFill="1" applyBorder="1" applyAlignment="1" applyProtection="1">
      <alignment horizontal="center"/>
    </xf>
    <xf numFmtId="167" fontId="80" fillId="14" borderId="2" xfId="2" applyNumberFormat="1" applyFont="1" applyFill="1" applyBorder="1" applyAlignment="1" applyProtection="1">
      <alignment horizontal="center"/>
    </xf>
    <xf numFmtId="167" fontId="18" fillId="0" borderId="2" xfId="2" applyNumberFormat="1" applyFont="1" applyBorder="1" applyAlignment="1" applyProtection="1">
      <alignment horizontal="center"/>
    </xf>
    <xf numFmtId="167" fontId="23" fillId="0" borderId="2" xfId="2" applyNumberFormat="1" applyFont="1" applyBorder="1" applyAlignment="1" applyProtection="1">
      <alignment horizontal="center"/>
    </xf>
    <xf numFmtId="0" fontId="78" fillId="14" borderId="2" xfId="0" applyFont="1" applyFill="1" applyBorder="1"/>
    <xf numFmtId="167" fontId="78" fillId="14" borderId="2" xfId="2" applyNumberFormat="1" applyFont="1" applyFill="1" applyBorder="1" applyAlignment="1">
      <alignment horizontal="center"/>
    </xf>
    <xf numFmtId="167" fontId="81" fillId="14" borderId="2" xfId="2" applyNumberFormat="1" applyFont="1" applyFill="1" applyBorder="1" applyAlignment="1" applyProtection="1">
      <alignment horizontal="center"/>
    </xf>
    <xf numFmtId="167" fontId="82" fillId="14" borderId="2" xfId="2" applyNumberFormat="1" applyFont="1" applyFill="1" applyBorder="1" applyAlignment="1" applyProtection="1">
      <alignment horizontal="center"/>
    </xf>
    <xf numFmtId="0" fontId="39" fillId="14" borderId="2" xfId="0" applyFont="1" applyFill="1" applyBorder="1" applyAlignment="1">
      <alignment horizontal="center"/>
    </xf>
    <xf numFmtId="0" fontId="78" fillId="14" borderId="0" xfId="0" applyFont="1" applyFill="1"/>
    <xf numFmtId="167" fontId="78" fillId="14" borderId="0" xfId="2" applyNumberFormat="1" applyFont="1" applyFill="1" applyBorder="1" applyProtection="1"/>
    <xf numFmtId="0" fontId="78" fillId="14" borderId="2" xfId="0" applyFont="1" applyFill="1" applyBorder="1" applyAlignment="1">
      <alignment horizontal="center"/>
    </xf>
    <xf numFmtId="167" fontId="66" fillId="14" borderId="2" xfId="2" applyNumberFormat="1" applyFont="1" applyFill="1" applyBorder="1" applyAlignment="1">
      <alignment horizontal="center"/>
    </xf>
    <xf numFmtId="167" fontId="59" fillId="10" borderId="2" xfId="2" applyNumberFormat="1" applyFont="1" applyFill="1" applyBorder="1" applyAlignment="1">
      <alignment horizontal="center"/>
    </xf>
    <xf numFmtId="0" fontId="59" fillId="17" borderId="2" xfId="0" applyFont="1" applyFill="1" applyBorder="1"/>
    <xf numFmtId="0" fontId="59" fillId="17" borderId="2" xfId="0" applyFont="1" applyFill="1" applyBorder="1" applyAlignment="1">
      <alignment horizontal="center"/>
    </xf>
    <xf numFmtId="167" fontId="59" fillId="17" borderId="2" xfId="2" applyNumberFormat="1" applyFont="1" applyFill="1" applyBorder="1" applyAlignment="1">
      <alignment horizontal="center"/>
    </xf>
    <xf numFmtId="0" fontId="60" fillId="10" borderId="2" xfId="0" applyFont="1" applyFill="1" applyBorder="1"/>
    <xf numFmtId="0" fontId="60" fillId="10" borderId="2" xfId="0" applyFont="1" applyFill="1" applyBorder="1" applyAlignment="1">
      <alignment horizontal="center"/>
    </xf>
    <xf numFmtId="167" fontId="60" fillId="10" borderId="2" xfId="2" applyNumberFormat="1" applyFont="1" applyFill="1" applyBorder="1"/>
    <xf numFmtId="0" fontId="70" fillId="14" borderId="2" xfId="0" applyFont="1" applyFill="1" applyBorder="1" applyAlignment="1">
      <alignment horizontal="center"/>
    </xf>
    <xf numFmtId="0" fontId="47" fillId="14" borderId="2" xfId="0" applyFont="1" applyFill="1" applyBorder="1"/>
    <xf numFmtId="167" fontId="47" fillId="14" borderId="2" xfId="2" applyNumberFormat="1" applyFont="1" applyFill="1" applyBorder="1"/>
    <xf numFmtId="0" fontId="47" fillId="14" borderId="2" xfId="0" applyFont="1" applyFill="1" applyBorder="1" applyAlignment="1">
      <alignment horizontal="center"/>
    </xf>
    <xf numFmtId="167" fontId="47" fillId="14" borderId="2" xfId="2" applyNumberFormat="1" applyFont="1" applyFill="1" applyBorder="1" applyAlignment="1">
      <alignment horizontal="center"/>
    </xf>
    <xf numFmtId="0" fontId="40" fillId="14" borderId="2" xfId="0" applyFont="1" applyFill="1" applyBorder="1" applyAlignment="1">
      <alignment horizontal="left"/>
    </xf>
    <xf numFmtId="0" fontId="40" fillId="14" borderId="2" xfId="0" applyFont="1" applyFill="1" applyBorder="1" applyAlignment="1">
      <alignment horizontal="center"/>
    </xf>
    <xf numFmtId="167" fontId="70" fillId="14" borderId="2" xfId="2" applyNumberFormat="1" applyFont="1" applyFill="1" applyBorder="1" applyAlignment="1">
      <alignment horizontal="center"/>
    </xf>
    <xf numFmtId="43" fontId="78" fillId="0" borderId="0" xfId="2" applyFont="1" applyFill="1" applyBorder="1" applyAlignment="1">
      <alignment horizontal="center"/>
    </xf>
    <xf numFmtId="172" fontId="7" fillId="0" borderId="41" xfId="0" applyNumberFormat="1" applyFont="1" applyBorder="1"/>
    <xf numFmtId="0" fontId="7" fillId="0" borderId="41" xfId="0" applyFont="1" applyBorder="1"/>
    <xf numFmtId="0" fontId="23" fillId="0" borderId="0" xfId="0" applyFont="1" applyAlignment="1" applyProtection="1">
      <alignment horizontal="left"/>
    </xf>
    <xf numFmtId="169" fontId="21" fillId="0" borderId="8" xfId="0" applyNumberFormat="1" applyFont="1" applyFill="1" applyBorder="1" applyAlignment="1" applyProtection="1">
      <alignment horizontal="center"/>
    </xf>
    <xf numFmtId="0" fontId="3" fillId="8" borderId="24" xfId="0" applyFont="1" applyFill="1" applyBorder="1" applyAlignment="1">
      <alignment horizontal="center"/>
    </xf>
    <xf numFmtId="0" fontId="7" fillId="8" borderId="0" xfId="0" applyFont="1" applyFill="1"/>
    <xf numFmtId="0" fontId="7" fillId="8" borderId="24" xfId="0" applyFont="1" applyFill="1" applyBorder="1"/>
    <xf numFmtId="0" fontId="7" fillId="8" borderId="24" xfId="0" applyFont="1" applyFill="1" applyBorder="1" applyAlignment="1">
      <alignment horizontal="center"/>
    </xf>
    <xf numFmtId="0" fontId="0" fillId="12" borderId="0" xfId="0" applyFill="1"/>
    <xf numFmtId="0" fontId="0" fillId="12" borderId="24" xfId="0" applyFill="1" applyBorder="1"/>
    <xf numFmtId="0" fontId="0" fillId="12" borderId="24" xfId="0" applyFill="1" applyBorder="1" applyAlignment="1">
      <alignment horizontal="center"/>
    </xf>
    <xf numFmtId="4" fontId="0" fillId="12" borderId="24" xfId="0" applyNumberFormat="1" applyFill="1" applyBorder="1" applyAlignment="1">
      <alignment horizontal="center"/>
    </xf>
    <xf numFmtId="0" fontId="3" fillId="12" borderId="24" xfId="0" applyFont="1" applyFill="1" applyBorder="1"/>
    <xf numFmtId="0" fontId="9" fillId="12" borderId="2" xfId="0" applyFont="1" applyFill="1" applyBorder="1"/>
    <xf numFmtId="0" fontId="0" fillId="12" borderId="2" xfId="0" applyFill="1" applyBorder="1"/>
    <xf numFmtId="0" fontId="64" fillId="12" borderId="2" xfId="0" applyFont="1" applyFill="1" applyBorder="1"/>
    <xf numFmtId="0" fontId="0" fillId="12" borderId="2" xfId="0" applyFill="1" applyBorder="1" applyAlignment="1">
      <alignment horizontal="center"/>
    </xf>
    <xf numFmtId="0" fontId="9" fillId="12" borderId="2" xfId="0" applyFont="1" applyFill="1" applyBorder="1" applyAlignment="1">
      <alignment horizontal="center"/>
    </xf>
    <xf numFmtId="0" fontId="3" fillId="12" borderId="0" xfId="0" applyFont="1" applyFill="1" applyBorder="1"/>
    <xf numFmtId="0" fontId="9" fillId="12" borderId="1" xfId="0" applyFont="1" applyFill="1" applyBorder="1"/>
    <xf numFmtId="0" fontId="61" fillId="12" borderId="0" xfId="0" applyFont="1" applyFill="1"/>
    <xf numFmtId="0" fontId="58" fillId="12" borderId="2" xfId="0" applyFont="1" applyFill="1" applyBorder="1" applyAlignment="1">
      <alignment horizontal="center"/>
    </xf>
    <xf numFmtId="167" fontId="58" fillId="12" borderId="2" xfId="2" applyNumberFormat="1" applyFont="1" applyFill="1" applyBorder="1" applyAlignment="1">
      <alignment horizontal="center"/>
    </xf>
    <xf numFmtId="0" fontId="70" fillId="12" borderId="0" xfId="0" applyFont="1" applyFill="1"/>
    <xf numFmtId="0" fontId="1" fillId="0" borderId="2" xfId="0" applyFont="1" applyBorder="1"/>
    <xf numFmtId="0" fontId="1" fillId="8" borderId="2" xfId="0" applyFont="1" applyFill="1" applyBorder="1"/>
    <xf numFmtId="174" fontId="7" fillId="18" borderId="2" xfId="3" applyNumberFormat="1" applyFont="1" applyFill="1" applyBorder="1"/>
    <xf numFmtId="174" fontId="59" fillId="18" borderId="2" xfId="3" applyNumberFormat="1" applyFont="1" applyFill="1" applyBorder="1"/>
    <xf numFmtId="43" fontId="61" fillId="0" borderId="2" xfId="2" applyFont="1" applyBorder="1" applyAlignment="1">
      <alignment horizontal="center"/>
    </xf>
    <xf numFmtId="4" fontId="0" fillId="8" borderId="0" xfId="0" applyNumberFormat="1" applyFill="1" applyProtection="1">
      <protection locked="0"/>
    </xf>
    <xf numFmtId="0" fontId="1" fillId="0" borderId="2" xfId="0" applyFont="1" applyBorder="1" applyAlignment="1">
      <alignment horizontal="center"/>
    </xf>
    <xf numFmtId="168" fontId="3" fillId="0" borderId="2" xfId="2" applyNumberFormat="1" applyFont="1" applyBorder="1" applyAlignment="1">
      <alignment horizontal="center"/>
    </xf>
    <xf numFmtId="0" fontId="61" fillId="12" borderId="2" xfId="0" applyFont="1" applyFill="1" applyBorder="1"/>
    <xf numFmtId="0" fontId="58" fillId="12" borderId="2" xfId="0" applyFont="1" applyFill="1" applyBorder="1"/>
    <xf numFmtId="0" fontId="64" fillId="10" borderId="2" xfId="0" applyFont="1" applyFill="1" applyBorder="1"/>
    <xf numFmtId="0" fontId="64" fillId="10" borderId="2" xfId="0" applyFont="1" applyFill="1" applyBorder="1" applyAlignment="1">
      <alignment horizontal="center"/>
    </xf>
    <xf numFmtId="0" fontId="0" fillId="10" borderId="2" xfId="0" applyFill="1" applyBorder="1"/>
    <xf numFmtId="0" fontId="7" fillId="12" borderId="2" xfId="0" applyFont="1" applyFill="1" applyBorder="1" applyAlignment="1">
      <alignment horizontal="center"/>
    </xf>
    <xf numFmtId="0" fontId="3" fillId="12" borderId="2" xfId="0" applyFont="1" applyFill="1" applyBorder="1"/>
    <xf numFmtId="0" fontId="72" fillId="12" borderId="2" xfId="0" applyFont="1" applyFill="1" applyBorder="1"/>
    <xf numFmtId="0" fontId="72" fillId="12" borderId="2" xfId="0" applyFont="1" applyFill="1" applyBorder="1" applyAlignment="1">
      <alignment horizontal="center"/>
    </xf>
    <xf numFmtId="4" fontId="72" fillId="12" borderId="2" xfId="0" applyNumberFormat="1" applyFont="1" applyFill="1" applyBorder="1" applyAlignment="1">
      <alignment horizontal="center"/>
    </xf>
    <xf numFmtId="0" fontId="71" fillId="12" borderId="2" xfId="0" applyFont="1" applyFill="1" applyBorder="1" applyAlignment="1">
      <alignment horizontal="center"/>
    </xf>
    <xf numFmtId="3" fontId="71" fillId="12" borderId="2" xfId="0" applyNumberFormat="1" applyFont="1" applyFill="1" applyBorder="1" applyAlignment="1">
      <alignment horizontal="center"/>
    </xf>
    <xf numFmtId="166" fontId="0" fillId="12" borderId="2" xfId="0" applyNumberFormat="1" applyFill="1" applyBorder="1" applyAlignment="1">
      <alignment horizontal="center"/>
    </xf>
    <xf numFmtId="0" fontId="3" fillId="10" borderId="2" xfId="0" applyFont="1" applyFill="1" applyBorder="1"/>
    <xf numFmtId="167" fontId="64" fillId="10" borderId="2" xfId="2" applyNumberFormat="1" applyFont="1" applyFill="1" applyBorder="1" applyAlignment="1">
      <alignment horizontal="center"/>
    </xf>
    <xf numFmtId="167" fontId="3" fillId="10" borderId="2" xfId="2" applyNumberFormat="1" applyFont="1" applyFill="1" applyBorder="1"/>
    <xf numFmtId="167" fontId="19" fillId="10" borderId="2" xfId="2" applyNumberFormat="1" applyFont="1" applyFill="1" applyBorder="1" applyAlignment="1" applyProtection="1">
      <alignment horizontal="center"/>
    </xf>
    <xf numFmtId="167" fontId="3" fillId="10" borderId="2" xfId="2" applyNumberFormat="1" applyFont="1" applyFill="1" applyBorder="1" applyAlignment="1">
      <alignment horizontal="center"/>
    </xf>
    <xf numFmtId="0" fontId="61" fillId="17" borderId="2" xfId="0" applyFont="1" applyFill="1" applyBorder="1"/>
    <xf numFmtId="167" fontId="61" fillId="17" borderId="2" xfId="2" applyNumberFormat="1" applyFont="1" applyFill="1" applyBorder="1"/>
    <xf numFmtId="167" fontId="0" fillId="17" borderId="2" xfId="2" applyNumberFormat="1" applyFont="1" applyFill="1" applyBorder="1" applyAlignment="1">
      <alignment horizontal="center"/>
    </xf>
    <xf numFmtId="167" fontId="9" fillId="17" borderId="2" xfId="2" applyNumberFormat="1" applyFont="1" applyFill="1" applyBorder="1" applyAlignment="1">
      <alignment horizontal="center"/>
    </xf>
    <xf numFmtId="0" fontId="85" fillId="19" borderId="2" xfId="0" applyFont="1" applyFill="1" applyBorder="1"/>
    <xf numFmtId="0" fontId="9" fillId="19" borderId="2" xfId="0" applyFont="1" applyFill="1" applyBorder="1" applyAlignment="1">
      <alignment horizontal="center"/>
    </xf>
    <xf numFmtId="167" fontId="9" fillId="19" borderId="2" xfId="2" applyNumberFormat="1" applyFont="1" applyFill="1" applyBorder="1" applyAlignment="1">
      <alignment horizontal="center"/>
    </xf>
    <xf numFmtId="0" fontId="0" fillId="19" borderId="2" xfId="0" applyFill="1" applyBorder="1" applyAlignment="1">
      <alignment horizontal="center"/>
    </xf>
    <xf numFmtId="0" fontId="3" fillId="0" borderId="1" xfId="0" applyFont="1" applyBorder="1" applyAlignment="1">
      <alignment horizontal="left"/>
    </xf>
    <xf numFmtId="167" fontId="1" fillId="0" borderId="1" xfId="2" applyNumberFormat="1" applyFont="1" applyBorder="1"/>
    <xf numFmtId="166" fontId="1" fillId="0" borderId="1" xfId="0" applyNumberFormat="1" applyFont="1" applyBorder="1"/>
    <xf numFmtId="2" fontId="1" fillId="0" borderId="1" xfId="0" applyNumberFormat="1" applyFont="1" applyBorder="1"/>
    <xf numFmtId="0" fontId="3" fillId="19" borderId="2" xfId="0" applyFont="1" applyFill="1" applyBorder="1"/>
    <xf numFmtId="0" fontId="0" fillId="19" borderId="2" xfId="0" applyFill="1" applyBorder="1"/>
    <xf numFmtId="0" fontId="9" fillId="19" borderId="2" xfId="0" applyFont="1" applyFill="1" applyBorder="1"/>
    <xf numFmtId="167" fontId="58" fillId="19" borderId="2" xfId="2" applyNumberFormat="1" applyFont="1" applyFill="1" applyBorder="1" applyAlignment="1">
      <alignment horizontal="center"/>
    </xf>
    <xf numFmtId="1" fontId="0" fillId="19" borderId="2" xfId="0" applyNumberFormat="1" applyFill="1" applyBorder="1" applyAlignment="1">
      <alignment horizontal="center"/>
    </xf>
    <xf numFmtId="167" fontId="58" fillId="19" borderId="2" xfId="2" applyNumberFormat="1" applyFont="1" applyFill="1" applyBorder="1"/>
    <xf numFmtId="168" fontId="9" fillId="0" borderId="1" xfId="2" applyNumberFormat="1" applyFont="1" applyBorder="1"/>
    <xf numFmtId="167" fontId="3" fillId="0" borderId="1" xfId="2" applyNumberFormat="1" applyFont="1" applyBorder="1"/>
    <xf numFmtId="166" fontId="3" fillId="0" borderId="1" xfId="0" applyNumberFormat="1" applyFont="1" applyBorder="1"/>
    <xf numFmtId="2" fontId="3" fillId="0" borderId="1" xfId="0" applyNumberFormat="1" applyFont="1" applyBorder="1"/>
    <xf numFmtId="0" fontId="0" fillId="0" borderId="0" xfId="0" applyFont="1" applyFill="1" applyBorder="1"/>
    <xf numFmtId="0" fontId="0" fillId="8" borderId="2" xfId="0" applyFill="1" applyBorder="1"/>
    <xf numFmtId="167" fontId="64" fillId="8" borderId="2" xfId="2" applyNumberFormat="1" applyFont="1" applyFill="1" applyBorder="1"/>
    <xf numFmtId="167" fontId="64" fillId="8" borderId="2" xfId="2" applyNumberFormat="1" applyFont="1" applyFill="1" applyBorder="1" applyAlignment="1">
      <alignment horizontal="center"/>
    </xf>
    <xf numFmtId="0" fontId="3" fillId="0" borderId="41" xfId="0" applyFont="1" applyBorder="1"/>
    <xf numFmtId="167" fontId="3" fillId="0" borderId="41" xfId="2" applyNumberFormat="1" applyFont="1" applyBorder="1" applyAlignment="1">
      <alignment horizontal="center"/>
    </xf>
    <xf numFmtId="167" fontId="0" fillId="8" borderId="2" xfId="2" applyNumberFormat="1" applyFont="1" applyFill="1" applyBorder="1" applyAlignment="1">
      <alignment horizontal="center"/>
    </xf>
    <xf numFmtId="167" fontId="9" fillId="8" borderId="2" xfId="2" applyNumberFormat="1" applyFont="1" applyFill="1" applyBorder="1" applyAlignment="1">
      <alignment horizontal="center"/>
    </xf>
    <xf numFmtId="0" fontId="1" fillId="12" borderId="2" xfId="0" applyFont="1" applyFill="1" applyBorder="1" applyAlignment="1">
      <alignment horizontal="left"/>
    </xf>
    <xf numFmtId="0" fontId="3" fillId="12" borderId="2" xfId="0" applyFont="1" applyFill="1" applyBorder="1" applyAlignment="1">
      <alignment horizontal="center"/>
    </xf>
    <xf numFmtId="167" fontId="64" fillId="12" borderId="2" xfId="2" applyNumberFormat="1" applyFont="1" applyFill="1" applyBorder="1" applyAlignment="1">
      <alignment horizontal="center"/>
    </xf>
    <xf numFmtId="167" fontId="9" fillId="12" borderId="2" xfId="2" applyNumberFormat="1" applyFont="1" applyFill="1" applyBorder="1" applyAlignment="1">
      <alignment horizontal="center"/>
    </xf>
    <xf numFmtId="0" fontId="58" fillId="18" borderId="2" xfId="0" applyFont="1" applyFill="1" applyBorder="1"/>
    <xf numFmtId="0" fontId="58" fillId="18" borderId="2" xfId="0" applyFont="1" applyFill="1" applyBorder="1" applyAlignment="1">
      <alignment horizontal="center"/>
    </xf>
    <xf numFmtId="167" fontId="58" fillId="18" borderId="2" xfId="2" applyNumberFormat="1" applyFont="1" applyFill="1" applyBorder="1" applyAlignment="1">
      <alignment horizontal="center"/>
    </xf>
    <xf numFmtId="167" fontId="64" fillId="15" borderId="2" xfId="2" applyNumberFormat="1" applyFont="1" applyFill="1" applyBorder="1" applyAlignment="1">
      <alignment horizontal="center"/>
    </xf>
    <xf numFmtId="0" fontId="58" fillId="15" borderId="2" xfId="0" applyFont="1" applyFill="1" applyBorder="1"/>
    <xf numFmtId="0" fontId="59" fillId="15" borderId="2" xfId="0" applyFont="1" applyFill="1" applyBorder="1"/>
    <xf numFmtId="0" fontId="59" fillId="15" borderId="2" xfId="0" applyFont="1" applyFill="1" applyBorder="1" applyAlignment="1">
      <alignment horizontal="center"/>
    </xf>
    <xf numFmtId="167" fontId="59" fillId="15" borderId="2" xfId="2" applyNumberFormat="1" applyFont="1" applyFill="1" applyBorder="1" applyAlignment="1">
      <alignment horizontal="center"/>
    </xf>
    <xf numFmtId="0" fontId="0" fillId="15" borderId="0" xfId="0" applyFill="1"/>
    <xf numFmtId="0" fontId="3" fillId="15" borderId="0" xfId="0" applyFont="1" applyFill="1"/>
    <xf numFmtId="0" fontId="66" fillId="15" borderId="0" xfId="0" applyFont="1" applyFill="1"/>
    <xf numFmtId="0" fontId="3" fillId="0" borderId="0" xfId="0" applyFont="1" applyBorder="1"/>
    <xf numFmtId="0" fontId="1" fillId="8" borderId="36" xfId="0" applyFont="1" applyFill="1" applyBorder="1"/>
    <xf numFmtId="0" fontId="0" fillId="8" borderId="37" xfId="0" applyFill="1" applyBorder="1"/>
    <xf numFmtId="0" fontId="0" fillId="8" borderId="45" xfId="0" applyFill="1" applyBorder="1"/>
    <xf numFmtId="0" fontId="86" fillId="8" borderId="0" xfId="0" applyNumberFormat="1" applyFont="1" applyFill="1" applyProtection="1">
      <protection locked="0"/>
    </xf>
    <xf numFmtId="4" fontId="86" fillId="8" borderId="0" xfId="0" applyNumberFormat="1" applyFont="1" applyFill="1" applyProtection="1">
      <protection locked="0"/>
    </xf>
    <xf numFmtId="0" fontId="3" fillId="8" borderId="2" xfId="0" applyFont="1" applyFill="1" applyBorder="1" applyAlignment="1">
      <alignment horizontal="center"/>
    </xf>
    <xf numFmtId="0" fontId="0" fillId="8" borderId="2" xfId="0" applyFill="1" applyBorder="1" applyAlignment="1">
      <alignment horizontal="center"/>
    </xf>
    <xf numFmtId="1" fontId="0" fillId="8" borderId="2" xfId="0" applyNumberFormat="1" applyFill="1" applyBorder="1" applyAlignment="1">
      <alignment horizontal="center"/>
    </xf>
    <xf numFmtId="0" fontId="3" fillId="0" borderId="0" xfId="0" applyFont="1" applyBorder="1" applyAlignment="1">
      <alignment horizontal="center"/>
    </xf>
    <xf numFmtId="0" fontId="9" fillId="12" borderId="0" xfId="0" applyFont="1" applyFill="1" applyBorder="1"/>
    <xf numFmtId="1" fontId="9" fillId="0" borderId="0" xfId="0" applyNumberFormat="1" applyFont="1" applyBorder="1"/>
    <xf numFmtId="167" fontId="3" fillId="0" borderId="0" xfId="2" applyNumberFormat="1" applyFont="1" applyBorder="1"/>
    <xf numFmtId="166" fontId="3" fillId="0" borderId="0" xfId="0" applyNumberFormat="1" applyFont="1" applyBorder="1"/>
    <xf numFmtId="168" fontId="9" fillId="0" borderId="0" xfId="2" applyNumberFormat="1" applyFont="1" applyBorder="1"/>
    <xf numFmtId="0" fontId="1" fillId="10" borderId="2" xfId="0" applyFont="1" applyFill="1" applyBorder="1"/>
    <xf numFmtId="167" fontId="1" fillId="10" borderId="2" xfId="2" applyNumberFormat="1" applyFont="1" applyFill="1" applyBorder="1"/>
    <xf numFmtId="167" fontId="1" fillId="10" borderId="2" xfId="2" applyNumberFormat="1" applyFont="1" applyFill="1" applyBorder="1" applyAlignment="1">
      <alignment horizontal="center"/>
    </xf>
    <xf numFmtId="22" fontId="0" fillId="0" borderId="0" xfId="0" applyNumberFormat="1"/>
    <xf numFmtId="167" fontId="1" fillId="2" borderId="2" xfId="2" applyNumberFormat="1" applyFont="1" applyFill="1" applyBorder="1"/>
    <xf numFmtId="0" fontId="87" fillId="8" borderId="0" xfId="0" applyNumberFormat="1" applyFont="1" applyFill="1" applyProtection="1">
      <protection locked="0"/>
    </xf>
    <xf numFmtId="4" fontId="87" fillId="8" borderId="0" xfId="0" applyNumberFormat="1" applyFont="1" applyFill="1" applyProtection="1">
      <protection locked="0"/>
    </xf>
    <xf numFmtId="167" fontId="1" fillId="0" borderId="2" xfId="2" applyNumberFormat="1" applyFont="1" applyBorder="1" applyAlignment="1">
      <alignment horizontal="center"/>
    </xf>
    <xf numFmtId="167" fontId="0" fillId="0" borderId="53" xfId="2" applyNumberFormat="1" applyFont="1" applyBorder="1"/>
    <xf numFmtId="2" fontId="0" fillId="0" borderId="19" xfId="0" applyNumberFormat="1" applyBorder="1"/>
    <xf numFmtId="2" fontId="0" fillId="0" borderId="4" xfId="0" applyNumberFormat="1" applyBorder="1"/>
    <xf numFmtId="2" fontId="0" fillId="0" borderId="9" xfId="0" applyNumberFormat="1" applyBorder="1"/>
    <xf numFmtId="181" fontId="3" fillId="0" borderId="0" xfId="0" applyNumberFormat="1" applyFont="1"/>
    <xf numFmtId="167" fontId="0" fillId="8" borderId="2" xfId="2" applyNumberFormat="1" applyFont="1" applyFill="1" applyBorder="1"/>
    <xf numFmtId="0" fontId="3" fillId="8" borderId="2" xfId="0" applyFont="1" applyFill="1" applyBorder="1"/>
    <xf numFmtId="167" fontId="1" fillId="12" borderId="2" xfId="2" applyNumberFormat="1" applyFont="1" applyFill="1" applyBorder="1"/>
    <xf numFmtId="0" fontId="1" fillId="12" borderId="2" xfId="0" applyFont="1" applyFill="1" applyBorder="1"/>
    <xf numFmtId="169" fontId="29" fillId="0" borderId="0" xfId="0" applyNumberFormat="1" applyFont="1" applyFill="1" applyBorder="1" applyAlignment="1" applyProtection="1">
      <alignment horizontal="center"/>
    </xf>
    <xf numFmtId="168" fontId="29" fillId="0" borderId="0" xfId="2" applyNumberFormat="1" applyFont="1" applyFill="1" applyBorder="1" applyAlignment="1" applyProtection="1">
      <alignment horizontal="center"/>
    </xf>
    <xf numFmtId="169" fontId="9" fillId="0" borderId="68" xfId="0" applyNumberFormat="1" applyFont="1" applyBorder="1" applyProtection="1"/>
    <xf numFmtId="168" fontId="29" fillId="0" borderId="68" xfId="2" applyNumberFormat="1" applyFont="1" applyFill="1" applyBorder="1" applyAlignment="1" applyProtection="1">
      <alignment horizontal="center"/>
    </xf>
    <xf numFmtId="167" fontId="1" fillId="0" borderId="37" xfId="2" applyNumberFormat="1" applyFont="1" applyBorder="1" applyProtection="1"/>
    <xf numFmtId="170" fontId="1" fillId="0" borderId="45" xfId="0" applyNumberFormat="1" applyFont="1" applyBorder="1" applyProtection="1"/>
    <xf numFmtId="167" fontId="3" fillId="0" borderId="0" xfId="2" applyNumberFormat="1" applyFont="1" applyBorder="1" applyProtection="1"/>
    <xf numFmtId="169" fontId="3" fillId="0" borderId="15" xfId="0" applyNumberFormat="1" applyFont="1" applyBorder="1" applyProtection="1"/>
    <xf numFmtId="0" fontId="66" fillId="8" borderId="0" xfId="0" applyFont="1" applyFill="1"/>
    <xf numFmtId="0" fontId="65" fillId="8" borderId="24" xfId="0" applyFont="1" applyFill="1" applyBorder="1"/>
    <xf numFmtId="0" fontId="65" fillId="8" borderId="0" xfId="0" applyFont="1" applyFill="1"/>
    <xf numFmtId="0" fontId="65" fillId="8" borderId="24" xfId="0" applyFont="1" applyFill="1" applyBorder="1" applyAlignment="1">
      <alignment horizontal="center"/>
    </xf>
    <xf numFmtId="0" fontId="0" fillId="8" borderId="24" xfId="0" applyFill="1" applyBorder="1" applyAlignment="1">
      <alignment horizontal="center"/>
    </xf>
    <xf numFmtId="14" fontId="9" fillId="0" borderId="34" xfId="0" applyNumberFormat="1" applyFont="1" applyFill="1" applyBorder="1"/>
    <xf numFmtId="14" fontId="1" fillId="0" borderId="20" xfId="0" applyNumberFormat="1" applyFont="1" applyFill="1" applyBorder="1"/>
    <xf numFmtId="167" fontId="1" fillId="12" borderId="2" xfId="2" applyNumberFormat="1" applyFont="1" applyFill="1" applyBorder="1" applyAlignment="1">
      <alignment horizontal="center"/>
    </xf>
    <xf numFmtId="0" fontId="64" fillId="0" borderId="2" xfId="0" applyFont="1" applyFill="1" applyBorder="1" applyAlignment="1">
      <alignment horizontal="center"/>
    </xf>
    <xf numFmtId="14" fontId="7" fillId="8" borderId="2" xfId="0" applyNumberFormat="1" applyFont="1" applyFill="1" applyBorder="1" applyAlignment="1">
      <alignment horizontal="center"/>
    </xf>
    <xf numFmtId="0" fontId="1" fillId="8" borderId="2" xfId="0" applyFont="1" applyFill="1" applyBorder="1" applyAlignment="1">
      <alignment horizontal="center"/>
    </xf>
    <xf numFmtId="0" fontId="9" fillId="0" borderId="0" xfId="0" applyFont="1" applyAlignment="1">
      <alignment horizontal="left" vertical="justify"/>
    </xf>
  </cellXfs>
  <cellStyles count="5">
    <cellStyle name="Euro" xfId="1"/>
    <cellStyle name="Millares" xfId="2" builtinId="3"/>
    <cellStyle name="Moneda" xfId="3" builtinId="4"/>
    <cellStyle name="Normal" xfId="0" builtinId="0"/>
    <cellStyle name="Porcentual"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571500</xdr:colOff>
      <xdr:row>26</xdr:row>
      <xdr:rowOff>57150</xdr:rowOff>
    </xdr:from>
    <xdr:to>
      <xdr:col>5</xdr:col>
      <xdr:colOff>542925</xdr:colOff>
      <xdr:row>29</xdr:row>
      <xdr:rowOff>123825</xdr:rowOff>
    </xdr:to>
    <xdr:sp macro="" textlink="">
      <xdr:nvSpPr>
        <xdr:cNvPr id="1217" name="Line 15"/>
        <xdr:cNvSpPr>
          <a:spLocks noChangeShapeType="1"/>
        </xdr:cNvSpPr>
      </xdr:nvSpPr>
      <xdr:spPr bwMode="auto">
        <a:xfrm>
          <a:off x="5553075" y="4162425"/>
          <a:ext cx="676275" cy="55245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117475</xdr:colOff>
      <xdr:row>77</xdr:row>
      <xdr:rowOff>19050</xdr:rowOff>
    </xdr:from>
    <xdr:to>
      <xdr:col>6</xdr:col>
      <xdr:colOff>520700</xdr:colOff>
      <xdr:row>79</xdr:row>
      <xdr:rowOff>0</xdr:rowOff>
    </xdr:to>
    <xdr:sp macro="" textlink="">
      <xdr:nvSpPr>
        <xdr:cNvPr id="2" name="Rectangle 95"/>
        <xdr:cNvSpPr>
          <a:spLocks noChangeArrowheads="1"/>
        </xdr:cNvSpPr>
      </xdr:nvSpPr>
      <xdr:spPr bwMode="auto">
        <a:xfrm>
          <a:off x="4527550" y="12706350"/>
          <a:ext cx="1041400" cy="304800"/>
        </a:xfrm>
        <a:prstGeom prst="rect">
          <a:avLst/>
        </a:prstGeom>
        <a:noFill/>
        <a:ln w="9525">
          <a:noFill/>
          <a:miter lim="800000"/>
          <a:headEnd/>
          <a:tailEnd/>
        </a:ln>
      </xdr:spPr>
      <xdr:txBody>
        <a:bodyPr wrap="square" lIns="0" tIns="0" rIns="0" bIns="0">
          <a:spAutoFit/>
        </a:bodyPr>
        <a:lstStyle>
          <a:defPPr>
            <a:defRPr lang="es-ES_tradnl"/>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es-ES_tradnl" sz="1000" b="1">
              <a:solidFill>
                <a:srgbClr val="000000"/>
              </a:solidFill>
            </a:rPr>
            <a:t>Segunda </a:t>
          </a:r>
          <a:endParaRPr lang="es-ES_tradnl" sz="1000">
            <a:solidFill>
              <a:srgbClr val="000000"/>
            </a:solidFill>
          </a:endParaRPr>
        </a:p>
        <a:p>
          <a:pPr algn="ctr"/>
          <a:r>
            <a:rPr lang="es-ES_tradnl" sz="1000">
              <a:solidFill>
                <a:srgbClr val="000000"/>
              </a:solidFill>
            </a:rPr>
            <a:t>Frutos de 86 a118 g.</a:t>
          </a:r>
          <a:endParaRPr lang="es-ES_tradnl"/>
        </a:p>
      </xdr:txBody>
    </xdr:sp>
    <xdr:clientData/>
  </xdr:twoCellAnchor>
  <xdr:twoCellAnchor>
    <xdr:from>
      <xdr:col>4</xdr:col>
      <xdr:colOff>238125</xdr:colOff>
      <xdr:row>78</xdr:row>
      <xdr:rowOff>133350</xdr:rowOff>
    </xdr:from>
    <xdr:to>
      <xdr:col>6</xdr:col>
      <xdr:colOff>276225</xdr:colOff>
      <xdr:row>80</xdr:row>
      <xdr:rowOff>114300</xdr:rowOff>
    </xdr:to>
    <xdr:sp macro="" textlink="">
      <xdr:nvSpPr>
        <xdr:cNvPr id="3" name="Rectangle 96"/>
        <xdr:cNvSpPr>
          <a:spLocks noChangeArrowheads="1"/>
        </xdr:cNvSpPr>
      </xdr:nvSpPr>
      <xdr:spPr bwMode="auto">
        <a:xfrm>
          <a:off x="3952875" y="12982575"/>
          <a:ext cx="1371600" cy="304800"/>
        </a:xfrm>
        <a:prstGeom prst="rect">
          <a:avLst/>
        </a:prstGeom>
        <a:noFill/>
        <a:ln w="9525">
          <a:noFill/>
          <a:miter lim="800000"/>
          <a:headEnd/>
          <a:tailEnd/>
        </a:ln>
      </xdr:spPr>
      <xdr:txBody>
        <a:bodyPr wrap="square" lIns="0" tIns="0" rIns="0" bIns="0">
          <a:spAutoFit/>
        </a:bodyPr>
        <a:lstStyle>
          <a:defPPr>
            <a:defRPr lang="es-ES_tradnl"/>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es-ES_tradnl" sz="1000" b="1">
              <a:solidFill>
                <a:srgbClr val="000000"/>
              </a:solidFill>
            </a:rPr>
            <a:t>Tercera</a:t>
          </a:r>
          <a:endParaRPr lang="es-ES_tradnl" sz="1000">
            <a:solidFill>
              <a:srgbClr val="000000"/>
            </a:solidFill>
          </a:endParaRPr>
        </a:p>
        <a:p>
          <a:pPr algn="ctr"/>
          <a:r>
            <a:rPr lang="es-ES_tradnl" sz="1000">
              <a:solidFill>
                <a:srgbClr val="000000"/>
              </a:solidFill>
            </a:rPr>
            <a:t>Frutos de 51 a 85 g.</a:t>
          </a:r>
          <a:endParaRPr lang="es-ES_tradnl"/>
        </a:p>
      </xdr:txBody>
    </xdr:sp>
    <xdr:clientData/>
  </xdr:twoCellAnchor>
  <xdr:twoCellAnchor>
    <xdr:from>
      <xdr:col>3</xdr:col>
      <xdr:colOff>238125</xdr:colOff>
      <xdr:row>77</xdr:row>
      <xdr:rowOff>19050</xdr:rowOff>
    </xdr:from>
    <xdr:to>
      <xdr:col>5</xdr:col>
      <xdr:colOff>12700</xdr:colOff>
      <xdr:row>79</xdr:row>
      <xdr:rowOff>0</xdr:rowOff>
    </xdr:to>
    <xdr:sp macro="" textlink="">
      <xdr:nvSpPr>
        <xdr:cNvPr id="4" name="Rectangle 97"/>
        <xdr:cNvSpPr>
          <a:spLocks noChangeArrowheads="1"/>
        </xdr:cNvSpPr>
      </xdr:nvSpPr>
      <xdr:spPr bwMode="auto">
        <a:xfrm>
          <a:off x="3286125" y="12706350"/>
          <a:ext cx="1136650" cy="304800"/>
        </a:xfrm>
        <a:prstGeom prst="rect">
          <a:avLst/>
        </a:prstGeom>
        <a:noFill/>
        <a:ln w="9525">
          <a:noFill/>
          <a:miter lim="800000"/>
          <a:headEnd/>
          <a:tailEnd/>
        </a:ln>
      </xdr:spPr>
      <xdr:txBody>
        <a:bodyPr wrap="square" lIns="0" tIns="0" rIns="0" bIns="0">
          <a:spAutoFit/>
        </a:bodyPr>
        <a:lstStyle>
          <a:defPPr>
            <a:defRPr lang="es-ES_tradnl"/>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es-ES_tradnl" sz="1000" b="1">
              <a:solidFill>
                <a:srgbClr val="000000"/>
              </a:solidFill>
            </a:rPr>
            <a:t>Primera</a:t>
          </a:r>
          <a:endParaRPr lang="es-ES_tradnl" sz="1000">
            <a:solidFill>
              <a:srgbClr val="000000"/>
            </a:solidFill>
          </a:endParaRPr>
        </a:p>
        <a:p>
          <a:pPr algn="ctr"/>
          <a:r>
            <a:rPr lang="es-ES_tradnl" sz="1000">
              <a:solidFill>
                <a:srgbClr val="000000"/>
              </a:solidFill>
            </a:rPr>
            <a:t>Frutos de 119 a 171 g.</a:t>
          </a:r>
          <a:endParaRPr lang="es-ES_tradnl"/>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38"/>
  <sheetViews>
    <sheetView zoomScaleNormal="100" workbookViewId="0">
      <selection activeCell="D33" sqref="D33"/>
    </sheetView>
  </sheetViews>
  <sheetFormatPr baseColWidth="10" defaultRowHeight="12.75"/>
  <cols>
    <col min="1" max="1" width="16.28515625" customWidth="1"/>
    <col min="2" max="2" width="10.42578125" customWidth="1"/>
    <col min="3" max="3" width="12.7109375" customWidth="1"/>
    <col min="4" max="4" width="12.42578125" customWidth="1"/>
    <col min="5" max="5" width="28" customWidth="1"/>
    <col min="6" max="6" width="17.7109375" customWidth="1"/>
  </cols>
  <sheetData>
    <row r="1" spans="1:7">
      <c r="A1" s="53" t="s">
        <v>628</v>
      </c>
    </row>
    <row r="2" spans="1:7" ht="47.25">
      <c r="A2" s="669" t="s">
        <v>536</v>
      </c>
      <c r="B2" s="669" t="s">
        <v>583</v>
      </c>
      <c r="C2" s="669" t="s">
        <v>584</v>
      </c>
      <c r="D2" s="669" t="s">
        <v>585</v>
      </c>
      <c r="E2" s="669" t="s">
        <v>586</v>
      </c>
      <c r="F2" s="669" t="s">
        <v>577</v>
      </c>
    </row>
    <row r="3" spans="1:7" ht="15">
      <c r="A3" s="62" t="s">
        <v>574</v>
      </c>
      <c r="B3" s="668"/>
      <c r="C3" s="668"/>
      <c r="D3" s="668"/>
      <c r="E3" s="8" t="s">
        <v>575</v>
      </c>
      <c r="F3" s="8" t="s">
        <v>578</v>
      </c>
    </row>
    <row r="4" spans="1:7">
      <c r="A4" s="62" t="s">
        <v>537</v>
      </c>
      <c r="B4" s="89">
        <v>3000</v>
      </c>
      <c r="C4" s="327">
        <f>B4*1000</f>
        <v>3000000</v>
      </c>
      <c r="D4" s="17" t="s">
        <v>560</v>
      </c>
      <c r="E4" s="8" t="s">
        <v>576</v>
      </c>
      <c r="F4" s="8" t="s">
        <v>579</v>
      </c>
    </row>
    <row r="5" spans="1:7">
      <c r="A5" s="62" t="s">
        <v>538</v>
      </c>
      <c r="B5" s="667" t="s">
        <v>559</v>
      </c>
      <c r="C5" s="327">
        <f>10*1000</f>
        <v>10000</v>
      </c>
      <c r="D5" s="17">
        <v>60</v>
      </c>
      <c r="E5" s="8" t="s">
        <v>582</v>
      </c>
      <c r="F5" s="8" t="s">
        <v>580</v>
      </c>
    </row>
    <row r="6" spans="1:7">
      <c r="A6" s="62" t="s">
        <v>618</v>
      </c>
      <c r="B6" s="667"/>
      <c r="C6" s="327"/>
      <c r="D6" s="17"/>
      <c r="E6" s="8" t="s">
        <v>619</v>
      </c>
      <c r="F6" s="8" t="s">
        <v>579</v>
      </c>
    </row>
    <row r="7" spans="1:7">
      <c r="A7" s="62" t="s">
        <v>539</v>
      </c>
      <c r="B7" s="17">
        <v>290</v>
      </c>
      <c r="C7" s="327">
        <f>B7*1000</f>
        <v>290000</v>
      </c>
      <c r="D7" s="17">
        <v>0.75</v>
      </c>
      <c r="E7" s="8" t="s">
        <v>795</v>
      </c>
      <c r="F7" s="8" t="s">
        <v>581</v>
      </c>
    </row>
    <row r="8" spans="1:7">
      <c r="A8" s="62" t="s">
        <v>616</v>
      </c>
      <c r="B8" s="17"/>
      <c r="C8" s="327"/>
      <c r="D8" s="17"/>
      <c r="E8" s="8" t="s">
        <v>617</v>
      </c>
      <c r="F8" s="8" t="s">
        <v>589</v>
      </c>
    </row>
    <row r="9" spans="1:7">
      <c r="A9" s="62" t="s">
        <v>540</v>
      </c>
      <c r="B9" s="17">
        <v>350</v>
      </c>
      <c r="C9" s="327">
        <f t="shared" ref="C9:C35" si="0">B9*1000</f>
        <v>350000</v>
      </c>
      <c r="D9" s="17" t="s">
        <v>561</v>
      </c>
      <c r="E9" s="8" t="s">
        <v>588</v>
      </c>
      <c r="F9" s="8" t="s">
        <v>589</v>
      </c>
    </row>
    <row r="10" spans="1:7">
      <c r="A10" s="62" t="s">
        <v>541</v>
      </c>
      <c r="B10" s="17">
        <v>300</v>
      </c>
      <c r="C10" s="327">
        <f t="shared" si="0"/>
        <v>300000</v>
      </c>
      <c r="D10" s="17">
        <v>2.4</v>
      </c>
      <c r="E10" s="8" t="s">
        <v>590</v>
      </c>
      <c r="F10" s="8" t="s">
        <v>578</v>
      </c>
      <c r="G10" t="s">
        <v>849</v>
      </c>
    </row>
    <row r="11" spans="1:7">
      <c r="A11" s="62" t="s">
        <v>542</v>
      </c>
      <c r="B11" s="17">
        <v>350</v>
      </c>
      <c r="C11" s="327">
        <f t="shared" si="0"/>
        <v>350000</v>
      </c>
      <c r="D11" s="17">
        <v>0.3</v>
      </c>
      <c r="E11" s="8" t="s">
        <v>591</v>
      </c>
      <c r="F11" s="8" t="s">
        <v>589</v>
      </c>
    </row>
    <row r="12" spans="1:7">
      <c r="A12" s="62" t="s">
        <v>614</v>
      </c>
      <c r="B12" s="17"/>
      <c r="C12" s="327"/>
      <c r="D12" s="17"/>
      <c r="E12" s="8" t="s">
        <v>615</v>
      </c>
      <c r="F12" s="8" t="s">
        <v>589</v>
      </c>
    </row>
    <row r="13" spans="1:7">
      <c r="A13" s="62" t="s">
        <v>543</v>
      </c>
      <c r="B13" s="17">
        <v>150</v>
      </c>
      <c r="C13" s="327">
        <f t="shared" si="0"/>
        <v>150000</v>
      </c>
      <c r="D13" s="17" t="s">
        <v>562</v>
      </c>
      <c r="E13" s="8" t="s">
        <v>592</v>
      </c>
      <c r="F13" s="8" t="s">
        <v>581</v>
      </c>
    </row>
    <row r="14" spans="1:7">
      <c r="A14" s="62" t="s">
        <v>570</v>
      </c>
      <c r="B14" s="17">
        <v>55</v>
      </c>
      <c r="C14" s="327">
        <f t="shared" si="0"/>
        <v>55000</v>
      </c>
      <c r="D14" s="17"/>
      <c r="E14" s="8" t="s">
        <v>593</v>
      </c>
      <c r="F14" s="8" t="s">
        <v>579</v>
      </c>
    </row>
    <row r="15" spans="1:7">
      <c r="A15" s="62" t="s">
        <v>544</v>
      </c>
      <c r="B15" s="17">
        <v>125</v>
      </c>
      <c r="C15" s="327">
        <f t="shared" si="0"/>
        <v>125000</v>
      </c>
      <c r="D15" s="17" t="s">
        <v>563</v>
      </c>
      <c r="E15" s="8" t="s">
        <v>594</v>
      </c>
      <c r="F15" s="8" t="s">
        <v>595</v>
      </c>
    </row>
    <row r="16" spans="1:7">
      <c r="A16" s="62" t="s">
        <v>620</v>
      </c>
      <c r="B16" s="17"/>
      <c r="C16" s="327"/>
      <c r="D16" s="17"/>
      <c r="E16" s="8" t="s">
        <v>621</v>
      </c>
      <c r="F16" s="8" t="s">
        <v>578</v>
      </c>
    </row>
    <row r="17" spans="1:6">
      <c r="A17" s="62" t="s">
        <v>545</v>
      </c>
      <c r="B17" s="89">
        <v>1000</v>
      </c>
      <c r="C17" s="327">
        <f t="shared" si="0"/>
        <v>1000000</v>
      </c>
      <c r="D17" s="17" t="s">
        <v>564</v>
      </c>
      <c r="E17" s="8" t="s">
        <v>596</v>
      </c>
      <c r="F17" s="8" t="s">
        <v>597</v>
      </c>
    </row>
    <row r="18" spans="1:6">
      <c r="A18" s="62" t="s">
        <v>571</v>
      </c>
      <c r="B18" s="89">
        <v>6</v>
      </c>
      <c r="C18" s="327">
        <f t="shared" si="0"/>
        <v>6000</v>
      </c>
      <c r="D18" s="17"/>
      <c r="E18" s="8" t="s">
        <v>598</v>
      </c>
      <c r="F18" s="8" t="s">
        <v>599</v>
      </c>
    </row>
    <row r="19" spans="1:6">
      <c r="A19" s="62" t="s">
        <v>546</v>
      </c>
      <c r="B19" s="17">
        <v>630</v>
      </c>
      <c r="C19" s="327">
        <f t="shared" si="0"/>
        <v>630000</v>
      </c>
      <c r="D19" s="17" t="s">
        <v>565</v>
      </c>
      <c r="E19" s="8" t="s">
        <v>600</v>
      </c>
      <c r="F19" s="8" t="s">
        <v>589</v>
      </c>
    </row>
    <row r="20" spans="1:6">
      <c r="A20" s="62" t="s">
        <v>547</v>
      </c>
      <c r="B20" s="17">
        <v>520</v>
      </c>
      <c r="C20" s="327">
        <f t="shared" si="0"/>
        <v>520000</v>
      </c>
      <c r="D20" s="17">
        <v>0.5</v>
      </c>
      <c r="E20" s="8" t="s">
        <v>601</v>
      </c>
      <c r="F20" s="8" t="s">
        <v>589</v>
      </c>
    </row>
    <row r="21" spans="1:6">
      <c r="A21" s="62" t="s">
        <v>622</v>
      </c>
      <c r="B21" s="17"/>
      <c r="C21" s="327"/>
      <c r="D21" s="17"/>
      <c r="E21" s="8" t="s">
        <v>623</v>
      </c>
      <c r="F21" s="8" t="s">
        <v>624</v>
      </c>
    </row>
    <row r="22" spans="1:6">
      <c r="A22" s="62" t="s">
        <v>548</v>
      </c>
      <c r="B22" s="17">
        <v>45</v>
      </c>
      <c r="C22" s="327">
        <f t="shared" si="0"/>
        <v>45000</v>
      </c>
      <c r="D22" s="17">
        <v>0.75</v>
      </c>
      <c r="E22" s="8" t="s">
        <v>602</v>
      </c>
      <c r="F22" s="8" t="s">
        <v>603</v>
      </c>
    </row>
    <row r="23" spans="1:6">
      <c r="A23" s="62" t="s">
        <v>549</v>
      </c>
      <c r="B23" s="17">
        <v>950</v>
      </c>
      <c r="C23" s="327">
        <f t="shared" si="0"/>
        <v>950000</v>
      </c>
      <c r="D23" s="17">
        <v>1</v>
      </c>
      <c r="E23" s="8" t="s">
        <v>604</v>
      </c>
      <c r="F23" s="8" t="s">
        <v>579</v>
      </c>
    </row>
    <row r="24" spans="1:6">
      <c r="A24" s="62" t="s">
        <v>550</v>
      </c>
      <c r="B24" s="17">
        <v>300</v>
      </c>
      <c r="C24" s="327">
        <f t="shared" si="0"/>
        <v>300000</v>
      </c>
      <c r="D24" s="17">
        <v>1</v>
      </c>
      <c r="E24" s="8" t="s">
        <v>605</v>
      </c>
      <c r="F24" s="8" t="s">
        <v>578</v>
      </c>
    </row>
    <row r="25" spans="1:6">
      <c r="A25" s="62" t="s">
        <v>551</v>
      </c>
      <c r="B25" s="17">
        <v>95</v>
      </c>
      <c r="C25" s="327">
        <f t="shared" si="0"/>
        <v>95000</v>
      </c>
      <c r="D25" s="667" t="s">
        <v>566</v>
      </c>
      <c r="E25" s="8"/>
      <c r="F25" s="8"/>
    </row>
    <row r="26" spans="1:6">
      <c r="A26" s="62" t="s">
        <v>552</v>
      </c>
      <c r="B26" s="17">
        <v>73</v>
      </c>
      <c r="C26" s="327">
        <f t="shared" si="0"/>
        <v>73000</v>
      </c>
      <c r="D26" s="667" t="s">
        <v>566</v>
      </c>
      <c r="E26" s="8" t="s">
        <v>606</v>
      </c>
      <c r="F26" s="8" t="s">
        <v>589</v>
      </c>
    </row>
    <row r="27" spans="1:6">
      <c r="A27" s="62" t="s">
        <v>553</v>
      </c>
      <c r="B27" s="17">
        <v>57</v>
      </c>
      <c r="C27" s="327">
        <f t="shared" si="0"/>
        <v>57000</v>
      </c>
      <c r="D27" s="17" t="s">
        <v>567</v>
      </c>
      <c r="E27" s="8" t="s">
        <v>607</v>
      </c>
      <c r="F27" s="8" t="s">
        <v>608</v>
      </c>
    </row>
    <row r="28" spans="1:6">
      <c r="A28" s="62" t="s">
        <v>554</v>
      </c>
      <c r="B28" s="17">
        <v>300</v>
      </c>
      <c r="C28" s="327">
        <f t="shared" si="0"/>
        <v>300000</v>
      </c>
      <c r="D28" s="17">
        <v>0.35</v>
      </c>
      <c r="E28" s="8" t="s">
        <v>609</v>
      </c>
      <c r="F28" s="8" t="s">
        <v>589</v>
      </c>
    </row>
    <row r="29" spans="1:6">
      <c r="A29" s="62" t="s">
        <v>555</v>
      </c>
      <c r="B29" s="17">
        <v>200</v>
      </c>
      <c r="C29" s="327">
        <f t="shared" si="0"/>
        <v>200000</v>
      </c>
      <c r="D29" s="17" t="s">
        <v>568</v>
      </c>
      <c r="E29" s="8" t="s">
        <v>610</v>
      </c>
      <c r="F29" s="8" t="s">
        <v>581</v>
      </c>
    </row>
    <row r="30" spans="1:6">
      <c r="A30" s="62" t="s">
        <v>572</v>
      </c>
      <c r="B30" s="17">
        <v>4</v>
      </c>
      <c r="C30" s="327">
        <f t="shared" si="0"/>
        <v>4000</v>
      </c>
      <c r="D30" s="17">
        <v>60</v>
      </c>
      <c r="E30" s="8" t="s">
        <v>611</v>
      </c>
      <c r="F30" s="8" t="s">
        <v>580</v>
      </c>
    </row>
    <row r="31" spans="1:6">
      <c r="A31" s="62" t="s">
        <v>556</v>
      </c>
      <c r="B31" s="17">
        <v>4</v>
      </c>
      <c r="C31" s="327">
        <f t="shared" si="0"/>
        <v>4000</v>
      </c>
      <c r="D31" s="17">
        <v>60</v>
      </c>
      <c r="E31" s="8" t="s">
        <v>611</v>
      </c>
      <c r="F31" s="8" t="s">
        <v>580</v>
      </c>
    </row>
    <row r="32" spans="1:6">
      <c r="A32" s="62" t="s">
        <v>625</v>
      </c>
      <c r="B32" s="17"/>
      <c r="C32" s="327"/>
      <c r="D32" s="17"/>
      <c r="E32" s="8" t="s">
        <v>626</v>
      </c>
      <c r="F32" s="8" t="s">
        <v>627</v>
      </c>
    </row>
    <row r="33" spans="1:6">
      <c r="A33" s="62" t="s">
        <v>557</v>
      </c>
      <c r="B33" s="89">
        <v>1000</v>
      </c>
      <c r="C33" s="327">
        <f t="shared" si="0"/>
        <v>1000000</v>
      </c>
      <c r="D33" s="667" t="s">
        <v>569</v>
      </c>
      <c r="E33" s="8" t="s">
        <v>612</v>
      </c>
      <c r="F33" s="8" t="s">
        <v>579</v>
      </c>
    </row>
    <row r="34" spans="1:6">
      <c r="A34" s="62" t="s">
        <v>573</v>
      </c>
      <c r="B34" s="17">
        <v>12</v>
      </c>
      <c r="C34" s="327">
        <f t="shared" si="0"/>
        <v>12000</v>
      </c>
      <c r="D34" s="17">
        <v>3</v>
      </c>
      <c r="E34" s="8" t="s">
        <v>613</v>
      </c>
      <c r="F34" s="8" t="s">
        <v>603</v>
      </c>
    </row>
    <row r="35" spans="1:6">
      <c r="A35" s="62" t="s">
        <v>558</v>
      </c>
      <c r="B35" s="17">
        <v>12</v>
      </c>
      <c r="C35" s="8">
        <f t="shared" si="0"/>
        <v>12000</v>
      </c>
      <c r="D35" s="17">
        <v>0.5</v>
      </c>
      <c r="E35" s="8" t="s">
        <v>613</v>
      </c>
      <c r="F35" s="8" t="s">
        <v>603</v>
      </c>
    </row>
    <row r="37" spans="1:6">
      <c r="A37" s="670" t="s">
        <v>587</v>
      </c>
    </row>
    <row r="38" spans="1:6">
      <c r="A38" s="670" t="s">
        <v>875</v>
      </c>
    </row>
  </sheetData>
  <phoneticPr fontId="34" type="noConversion"/>
  <pageMargins left="0.55000000000000004" right="0.45" top="1" bottom="1" header="0" footer="0"/>
  <pageSetup orientation="portrait" horizontalDpi="120" verticalDpi="144" r:id="rId1"/>
  <headerFooter alignWithMargins="0"/>
  <legacyDrawing r:id="rId2"/>
</worksheet>
</file>

<file path=xl/worksheets/sheet10.xml><?xml version="1.0" encoding="utf-8"?>
<worksheet xmlns="http://schemas.openxmlformats.org/spreadsheetml/2006/main" xmlns:r="http://schemas.openxmlformats.org/officeDocument/2006/relationships">
  <dimension ref="A1:G49"/>
  <sheetViews>
    <sheetView topLeftCell="A25" workbookViewId="0">
      <selection activeCell="C57" sqref="C57"/>
    </sheetView>
  </sheetViews>
  <sheetFormatPr baseColWidth="10" defaultRowHeight="12.75"/>
  <cols>
    <col min="1" max="1" width="27.42578125" customWidth="1"/>
    <col min="2" max="2" width="10.140625" customWidth="1"/>
    <col min="3" max="3" width="9.85546875" customWidth="1"/>
    <col min="4" max="4" width="10.140625" customWidth="1"/>
    <col min="5" max="5" width="11.85546875" bestFit="1" customWidth="1"/>
  </cols>
  <sheetData>
    <row r="1" spans="1:7">
      <c r="A1" s="331" t="s">
        <v>365</v>
      </c>
      <c r="B1" s="332"/>
      <c r="C1" s="332"/>
      <c r="D1" s="332"/>
      <c r="E1" s="332"/>
      <c r="F1" s="332"/>
      <c r="G1" s="332"/>
    </row>
    <row r="2" spans="1:7">
      <c r="A2" s="331" t="s">
        <v>3</v>
      </c>
      <c r="B2" s="332"/>
      <c r="C2" s="332"/>
      <c r="D2" s="332"/>
      <c r="E2" s="733" t="s">
        <v>366</v>
      </c>
      <c r="F2" s="738">
        <f>'PREC marzo 2014'!C11</f>
        <v>7883.82</v>
      </c>
      <c r="G2" s="734" t="s">
        <v>8</v>
      </c>
    </row>
    <row r="3" spans="1:7" ht="13.5" thickBot="1">
      <c r="A3" s="333" t="s">
        <v>376</v>
      </c>
      <c r="B3" s="357">
        <f>'PREC marzo 2014'!B3</f>
        <v>42143</v>
      </c>
      <c r="C3" s="332"/>
      <c r="D3" s="332"/>
      <c r="E3" s="735" t="s">
        <v>367</v>
      </c>
      <c r="F3" s="736">
        <f>+'PREC marzo 2014'!B4</f>
        <v>538.54999999999995</v>
      </c>
      <c r="G3" s="737" t="s">
        <v>8</v>
      </c>
    </row>
    <row r="4" spans="1:7">
      <c r="A4" s="504" t="s">
        <v>10</v>
      </c>
      <c r="B4" s="504" t="s">
        <v>11</v>
      </c>
      <c r="C4" s="504" t="s">
        <v>12</v>
      </c>
      <c r="D4" s="504" t="s">
        <v>13</v>
      </c>
      <c r="E4" s="505" t="s">
        <v>13</v>
      </c>
      <c r="F4" s="505" t="s">
        <v>13</v>
      </c>
      <c r="G4" s="505" t="s">
        <v>14</v>
      </c>
    </row>
    <row r="5" spans="1:7">
      <c r="A5" s="505"/>
      <c r="B5" s="505"/>
      <c r="C5" s="505"/>
      <c r="D5" s="505" t="s">
        <v>15</v>
      </c>
      <c r="E5" s="505" t="s">
        <v>16</v>
      </c>
      <c r="F5" s="505" t="s">
        <v>16</v>
      </c>
      <c r="G5" s="505" t="s">
        <v>17</v>
      </c>
    </row>
    <row r="6" spans="1:7" ht="13.5" thickBot="1">
      <c r="A6" s="506"/>
      <c r="B6" s="506"/>
      <c r="C6" s="506"/>
      <c r="D6" s="506"/>
      <c r="E6" s="506" t="s">
        <v>18</v>
      </c>
      <c r="F6" s="506" t="s">
        <v>19</v>
      </c>
      <c r="G6" s="506"/>
    </row>
    <row r="7" spans="1:7">
      <c r="A7" s="334" t="s">
        <v>134</v>
      </c>
      <c r="B7" s="335"/>
      <c r="C7" s="335"/>
      <c r="D7" s="335"/>
      <c r="E7" s="335"/>
      <c r="F7" s="335"/>
      <c r="G7" s="335"/>
    </row>
    <row r="8" spans="1:7">
      <c r="A8" s="336" t="s">
        <v>135</v>
      </c>
      <c r="B8" s="336"/>
      <c r="C8" s="336"/>
      <c r="D8" s="336"/>
      <c r="E8" s="336"/>
      <c r="F8" s="336"/>
      <c r="G8" s="336"/>
    </row>
    <row r="9" spans="1:7">
      <c r="A9" s="337" t="s">
        <v>136</v>
      </c>
      <c r="B9" s="336" t="s">
        <v>100</v>
      </c>
      <c r="C9" s="336">
        <v>4.5</v>
      </c>
      <c r="D9" s="761">
        <f>'PREC marzo 2014'!C7</f>
        <v>18000</v>
      </c>
      <c r="E9" s="761">
        <f>+D9*C9</f>
        <v>81000</v>
      </c>
      <c r="F9" s="338">
        <f>+E9/$F$3</f>
        <v>150.40386222263487</v>
      </c>
      <c r="G9" s="339">
        <f>+E9/$E$43*100</f>
        <v>3.1311999611535342</v>
      </c>
    </row>
    <row r="10" spans="1:7">
      <c r="A10" s="337" t="s">
        <v>137</v>
      </c>
      <c r="B10" s="336" t="s">
        <v>100</v>
      </c>
      <c r="C10" s="336">
        <v>4.5</v>
      </c>
      <c r="D10" s="761">
        <f>'PREC marzo 2014'!C7</f>
        <v>18000</v>
      </c>
      <c r="E10" s="761">
        <f>+D10*C10</f>
        <v>81000</v>
      </c>
      <c r="F10" s="338">
        <f>+E10/$F$3</f>
        <v>150.40386222263487</v>
      </c>
      <c r="G10" s="339">
        <f>+E10/$E$43*100</f>
        <v>3.1311999611535342</v>
      </c>
    </row>
    <row r="11" spans="1:7">
      <c r="A11" s="337" t="s">
        <v>368</v>
      </c>
      <c r="B11" s="336" t="s">
        <v>100</v>
      </c>
      <c r="C11" s="336">
        <v>18</v>
      </c>
      <c r="D11" s="761">
        <f>'PREC marzo 2014'!E13</f>
        <v>1875</v>
      </c>
      <c r="E11" s="761">
        <f>+D11*C11</f>
        <v>33750</v>
      </c>
      <c r="F11" s="338">
        <f>+E11/$F$3</f>
        <v>62.668275926097863</v>
      </c>
      <c r="G11" s="339">
        <f>+E11/$E$43*100</f>
        <v>1.3046666504806395</v>
      </c>
    </row>
    <row r="12" spans="1:7">
      <c r="A12" s="340" t="s">
        <v>9</v>
      </c>
      <c r="B12" s="336" t="s">
        <v>9</v>
      </c>
      <c r="C12" s="336" t="s">
        <v>9</v>
      </c>
      <c r="D12" s="761" t="s">
        <v>9</v>
      </c>
      <c r="E12" s="761" t="s">
        <v>9</v>
      </c>
      <c r="F12" s="338" t="s">
        <v>9</v>
      </c>
      <c r="G12" s="339" t="s">
        <v>9</v>
      </c>
    </row>
    <row r="13" spans="1:7">
      <c r="A13" s="341" t="s">
        <v>140</v>
      </c>
      <c r="B13" s="342"/>
      <c r="C13" s="342"/>
      <c r="D13" s="762"/>
      <c r="E13" s="763">
        <f>SUM(E9:E12)</f>
        <v>195750</v>
      </c>
      <c r="F13" s="343">
        <f>SUM(F9:F12)</f>
        <v>363.4760003713676</v>
      </c>
      <c r="G13" s="344">
        <f>+E13/$E$43*100</f>
        <v>7.5670665727877093</v>
      </c>
    </row>
    <row r="14" spans="1:7">
      <c r="A14" s="336"/>
      <c r="B14" s="336"/>
      <c r="C14" s="336" t="s">
        <v>9</v>
      </c>
      <c r="D14" s="761"/>
      <c r="E14" s="761" t="s">
        <v>9</v>
      </c>
      <c r="F14" s="336" t="s">
        <v>9</v>
      </c>
      <c r="G14" s="339" t="s">
        <v>9</v>
      </c>
    </row>
    <row r="15" spans="1:7">
      <c r="A15" s="345" t="s">
        <v>141</v>
      </c>
      <c r="B15" s="336"/>
      <c r="C15" s="336"/>
      <c r="D15" s="761"/>
      <c r="E15" s="761" t="s">
        <v>9</v>
      </c>
      <c r="F15" s="336" t="s">
        <v>9</v>
      </c>
      <c r="G15" s="339" t="s">
        <v>9</v>
      </c>
    </row>
    <row r="16" spans="1:7">
      <c r="A16" s="336" t="s">
        <v>369</v>
      </c>
      <c r="B16" s="336" t="s">
        <v>143</v>
      </c>
      <c r="C16" s="336">
        <v>3</v>
      </c>
      <c r="D16" s="761">
        <f t="shared" ref="D16:D22" si="0">+$F$2</f>
        <v>7883.82</v>
      </c>
      <c r="E16" s="761">
        <f t="shared" ref="E16:E22" si="1">+D16*C16</f>
        <v>23651.46</v>
      </c>
      <c r="F16" s="338">
        <f t="shared" ref="F16:F24" si="2">+E16/$F$3</f>
        <v>43.916925076594559</v>
      </c>
      <c r="G16" s="339">
        <f t="shared" ref="G16:G23" si="3">+E16/$E$43*100</f>
        <v>0.91428951399042446</v>
      </c>
    </row>
    <row r="17" spans="1:7">
      <c r="A17" s="340" t="s">
        <v>288</v>
      </c>
      <c r="B17" s="336" t="s">
        <v>143</v>
      </c>
      <c r="C17" s="336">
        <v>4</v>
      </c>
      <c r="D17" s="761">
        <f>+$F$2</f>
        <v>7883.82</v>
      </c>
      <c r="E17" s="761">
        <f>+D17*C17</f>
        <v>31535.279999999999</v>
      </c>
      <c r="F17" s="338">
        <f>+E17/$F$3</f>
        <v>58.555900102126081</v>
      </c>
      <c r="G17" s="339">
        <f>+E17/$E$43*100</f>
        <v>1.2190526853205657</v>
      </c>
    </row>
    <row r="18" spans="1:7">
      <c r="A18" s="336" t="s">
        <v>138</v>
      </c>
      <c r="B18" s="336" t="s">
        <v>143</v>
      </c>
      <c r="C18" s="336">
        <v>39</v>
      </c>
      <c r="D18" s="761">
        <f>+$F$2</f>
        <v>7883.82</v>
      </c>
      <c r="E18" s="761">
        <f>+D18*C18</f>
        <v>307468.98</v>
      </c>
      <c r="F18" s="338">
        <f>+E18/$F$3</f>
        <v>570.92002599572925</v>
      </c>
      <c r="G18" s="339">
        <f>+E18/$E$43*100</f>
        <v>11.885763681875517</v>
      </c>
    </row>
    <row r="19" spans="1:7">
      <c r="A19" s="336" t="s">
        <v>379</v>
      </c>
      <c r="B19" s="336" t="s">
        <v>143</v>
      </c>
      <c r="C19" s="336">
        <v>15</v>
      </c>
      <c r="D19" s="761">
        <f>+$F$2</f>
        <v>7883.82</v>
      </c>
      <c r="E19" s="761">
        <f>+D19*C19</f>
        <v>118257.29999999999</v>
      </c>
      <c r="F19" s="338">
        <f>+E19/$F$3</f>
        <v>219.5846253829728</v>
      </c>
      <c r="G19" s="339">
        <f>+E19/$E$43*100</f>
        <v>4.571447569952122</v>
      </c>
    </row>
    <row r="20" spans="1:7">
      <c r="A20" s="336" t="s">
        <v>370</v>
      </c>
      <c r="B20" s="336" t="s">
        <v>143</v>
      </c>
      <c r="C20" s="336">
        <v>28</v>
      </c>
      <c r="D20" s="761">
        <f t="shared" si="0"/>
        <v>7883.82</v>
      </c>
      <c r="E20" s="761">
        <f t="shared" si="1"/>
        <v>220746.96</v>
      </c>
      <c r="F20" s="338">
        <f t="shared" si="2"/>
        <v>409.89130071488256</v>
      </c>
      <c r="G20" s="339">
        <f t="shared" si="3"/>
        <v>8.5333687972439609</v>
      </c>
    </row>
    <row r="21" spans="1:7">
      <c r="A21" s="336" t="s">
        <v>237</v>
      </c>
      <c r="B21" s="336" t="s">
        <v>143</v>
      </c>
      <c r="C21" s="336">
        <v>28</v>
      </c>
      <c r="D21" s="761">
        <f t="shared" si="0"/>
        <v>7883.82</v>
      </c>
      <c r="E21" s="761">
        <f t="shared" si="1"/>
        <v>220746.96</v>
      </c>
      <c r="F21" s="338">
        <f t="shared" si="2"/>
        <v>409.89130071488256</v>
      </c>
      <c r="G21" s="339">
        <f t="shared" si="3"/>
        <v>8.5333687972439609</v>
      </c>
    </row>
    <row r="22" spans="1:7">
      <c r="A22" s="336" t="s">
        <v>169</v>
      </c>
      <c r="B22" s="336" t="s">
        <v>143</v>
      </c>
      <c r="C22" s="336">
        <v>6</v>
      </c>
      <c r="D22" s="761">
        <f t="shared" si="0"/>
        <v>7883.82</v>
      </c>
      <c r="E22" s="761">
        <f t="shared" si="1"/>
        <v>47302.92</v>
      </c>
      <c r="F22" s="338">
        <f t="shared" si="2"/>
        <v>87.833850153189118</v>
      </c>
      <c r="G22" s="339">
        <f t="shared" si="3"/>
        <v>1.8285790279808489</v>
      </c>
    </row>
    <row r="23" spans="1:7">
      <c r="A23" s="698" t="s">
        <v>151</v>
      </c>
      <c r="B23" s="698" t="s">
        <v>143</v>
      </c>
      <c r="C23" s="698">
        <v>3</v>
      </c>
      <c r="D23" s="764">
        <f>+$F$2</f>
        <v>7883.82</v>
      </c>
      <c r="E23" s="764">
        <f>+D23*C23</f>
        <v>23651.46</v>
      </c>
      <c r="F23" s="699">
        <f t="shared" si="2"/>
        <v>43.916925076594559</v>
      </c>
      <c r="G23" s="700">
        <f t="shared" si="3"/>
        <v>0.91428951399042446</v>
      </c>
    </row>
    <row r="24" spans="1:7">
      <c r="A24" s="336" t="s">
        <v>152</v>
      </c>
      <c r="B24" s="336"/>
      <c r="C24" s="701">
        <f>SUM(C16:C23)</f>
        <v>126</v>
      </c>
      <c r="D24" s="765"/>
      <c r="E24" s="765">
        <f>SUM(E16:E23)</f>
        <v>993361.32</v>
      </c>
      <c r="F24" s="702">
        <f t="shared" si="2"/>
        <v>1844.5108532169716</v>
      </c>
      <c r="G24" s="702">
        <f>SUM(G16:G23)</f>
        <v>38.400159587597827</v>
      </c>
    </row>
    <row r="25" spans="1:7">
      <c r="A25" s="159" t="s">
        <v>713</v>
      </c>
      <c r="B25" s="336" t="s">
        <v>717</v>
      </c>
      <c r="C25" s="336"/>
      <c r="D25" s="761"/>
      <c r="E25" s="761">
        <f>'PREC marzo 2014'!E10</f>
        <v>168000</v>
      </c>
      <c r="F25" s="702">
        <f>+F24*0.24</f>
        <v>442.68260477207315</v>
      </c>
      <c r="G25" s="702">
        <f>+G24*0.24</f>
        <v>9.2160383010234774</v>
      </c>
    </row>
    <row r="26" spans="1:7">
      <c r="A26" s="341" t="s">
        <v>153</v>
      </c>
      <c r="B26" s="342"/>
      <c r="C26" s="342"/>
      <c r="D26" s="762"/>
      <c r="E26" s="763">
        <f>+E25+E24</f>
        <v>1161361.3199999998</v>
      </c>
      <c r="F26" s="343">
        <f>+F25+F24</f>
        <v>2287.1934579890449</v>
      </c>
      <c r="G26" s="343">
        <f>+G25+G24</f>
        <v>47.616197888621301</v>
      </c>
    </row>
    <row r="27" spans="1:7">
      <c r="A27" s="336"/>
      <c r="B27" s="336"/>
      <c r="C27" s="336"/>
      <c r="D27" s="761"/>
      <c r="E27" s="761" t="s">
        <v>9</v>
      </c>
      <c r="F27" s="336"/>
      <c r="G27" s="339" t="s">
        <v>9</v>
      </c>
    </row>
    <row r="28" spans="1:7">
      <c r="A28" s="345" t="s">
        <v>154</v>
      </c>
      <c r="B28" s="336"/>
      <c r="C28" s="336" t="s">
        <v>9</v>
      </c>
      <c r="D28" s="761" t="s">
        <v>9</v>
      </c>
      <c r="E28" s="761" t="s">
        <v>9</v>
      </c>
      <c r="F28" s="336" t="s">
        <v>9</v>
      </c>
      <c r="G28" s="339" t="s">
        <v>9</v>
      </c>
    </row>
    <row r="29" spans="1:7">
      <c r="A29" s="336" t="s">
        <v>1072</v>
      </c>
      <c r="B29" s="336" t="s">
        <v>36</v>
      </c>
      <c r="C29" s="336">
        <v>10</v>
      </c>
      <c r="D29" s="761">
        <f>+'PREC marzo 2014'!C28</f>
        <v>66587.399999999994</v>
      </c>
      <c r="E29" s="761">
        <f>+D29*C29</f>
        <v>665874</v>
      </c>
      <c r="F29" s="338">
        <f t="shared" ref="F29:F40" si="4">+E29/$F$3</f>
        <v>1236.4200167115403</v>
      </c>
      <c r="G29" s="339">
        <f>+E29/$E$43*100</f>
        <v>25.740551147322822</v>
      </c>
    </row>
    <row r="30" spans="1:7">
      <c r="A30" s="336" t="s">
        <v>377</v>
      </c>
      <c r="B30" s="336" t="s">
        <v>36</v>
      </c>
      <c r="C30" s="336">
        <v>1000</v>
      </c>
      <c r="D30" s="761">
        <f>'PREC marzo 2014'!E69</f>
        <v>342.66666666666669</v>
      </c>
      <c r="E30" s="761">
        <f>+D30*C30</f>
        <v>342666.66666666669</v>
      </c>
      <c r="F30" s="338">
        <f t="shared" si="4"/>
        <v>636.27642125460352</v>
      </c>
      <c r="G30" s="339">
        <f>+E30/$E$43*100</f>
        <v>13.246393251299725</v>
      </c>
    </row>
    <row r="31" spans="1:7">
      <c r="A31" s="1036" t="s">
        <v>1169</v>
      </c>
      <c r="B31" s="1036" t="s">
        <v>38</v>
      </c>
      <c r="C31" s="336">
        <v>1</v>
      </c>
      <c r="D31" s="761">
        <f>'PREC marzo 2014'!E236</f>
        <v>5716</v>
      </c>
      <c r="E31" s="761">
        <f>+D31*C31</f>
        <v>5716</v>
      </c>
      <c r="F31" s="338">
        <f t="shared" ref="F31" si="5">+E31/$F$3</f>
        <v>10.613684894624456</v>
      </c>
      <c r="G31" s="339">
        <f t="shared" ref="G31" si="6">+E31/$E$43*100</f>
        <v>0.22096220960436549</v>
      </c>
    </row>
    <row r="32" spans="1:7">
      <c r="A32" s="336" t="s">
        <v>117</v>
      </c>
      <c r="B32" s="336" t="s">
        <v>36</v>
      </c>
      <c r="C32" s="336">
        <v>1.5</v>
      </c>
      <c r="D32" s="761">
        <f>'PREC marzo 2014'!E155</f>
        <v>17252</v>
      </c>
      <c r="E32" s="761">
        <f t="shared" ref="E32:E38" si="7">+D32*C32</f>
        <v>25878</v>
      </c>
      <c r="F32" s="338">
        <f t="shared" si="4"/>
        <v>48.05124872342401</v>
      </c>
      <c r="G32" s="339">
        <f t="shared" ref="G32:G38" si="8">+E32/$E$43*100</f>
        <v>1.0003604024040884</v>
      </c>
    </row>
    <row r="33" spans="1:7">
      <c r="A33" s="336" t="s">
        <v>842</v>
      </c>
      <c r="B33" s="336" t="s">
        <v>107</v>
      </c>
      <c r="C33" s="336">
        <v>1.5</v>
      </c>
      <c r="D33" s="761">
        <f>+'PREC marzo 2014'!E162</f>
        <v>4533.333333333333</v>
      </c>
      <c r="E33" s="761">
        <f t="shared" si="7"/>
        <v>6800</v>
      </c>
      <c r="F33" s="338">
        <f t="shared" si="4"/>
        <v>12.626497075480458</v>
      </c>
      <c r="G33" s="339">
        <f t="shared" si="8"/>
        <v>0.26286616957832143</v>
      </c>
    </row>
    <row r="34" spans="1:7">
      <c r="A34" s="336" t="s">
        <v>783</v>
      </c>
      <c r="B34" s="336" t="s">
        <v>36</v>
      </c>
      <c r="C34" s="336">
        <v>1.2</v>
      </c>
      <c r="D34" s="761">
        <f>'PREC marzo 2014'!E145</f>
        <v>3030</v>
      </c>
      <c r="E34" s="761">
        <f t="shared" si="7"/>
        <v>3636</v>
      </c>
      <c r="F34" s="338">
        <f t="shared" si="4"/>
        <v>6.7514622597716096</v>
      </c>
      <c r="G34" s="339">
        <f t="shared" si="8"/>
        <v>0.14055608714511419</v>
      </c>
    </row>
    <row r="35" spans="1:7">
      <c r="A35" s="915" t="s">
        <v>970</v>
      </c>
      <c r="B35" s="924" t="s">
        <v>38</v>
      </c>
      <c r="C35" s="924">
        <v>2.9</v>
      </c>
      <c r="D35" s="925">
        <f>'PREC marzo 2014'!E192</f>
        <v>10818</v>
      </c>
      <c r="E35" s="925">
        <f t="shared" si="7"/>
        <v>31372.2</v>
      </c>
      <c r="F35" s="926">
        <f t="shared" si="4"/>
        <v>58.253086992851181</v>
      </c>
      <c r="G35" s="927">
        <f t="shared" si="8"/>
        <v>1.2127485360654433</v>
      </c>
    </row>
    <row r="36" spans="1:7">
      <c r="A36" s="336" t="s">
        <v>378</v>
      </c>
      <c r="B36" s="924" t="s">
        <v>38</v>
      </c>
      <c r="C36" s="336">
        <v>4</v>
      </c>
      <c r="D36" s="761">
        <f>'PREC marzo 2014'!E216</f>
        <v>14000</v>
      </c>
      <c r="E36" s="761">
        <f t="shared" si="7"/>
        <v>56000</v>
      </c>
      <c r="F36" s="338">
        <f t="shared" si="4"/>
        <v>103.98291709219201</v>
      </c>
      <c r="G36" s="339">
        <f t="shared" si="8"/>
        <v>2.1647802200567647</v>
      </c>
    </row>
    <row r="37" spans="1:7">
      <c r="A37" s="336" t="s">
        <v>371</v>
      </c>
      <c r="B37" s="336" t="s">
        <v>36</v>
      </c>
      <c r="C37" s="336">
        <v>1.5</v>
      </c>
      <c r="D37" s="761">
        <f>+'PREC marzo 2014'!E173</f>
        <v>5000</v>
      </c>
      <c r="E37" s="761">
        <f t="shared" si="7"/>
        <v>7500</v>
      </c>
      <c r="F37" s="338">
        <f t="shared" si="4"/>
        <v>13.926283539132857</v>
      </c>
      <c r="G37" s="339">
        <f t="shared" si="8"/>
        <v>0.28992592232903097</v>
      </c>
    </row>
    <row r="38" spans="1:7">
      <c r="A38" s="336" t="s">
        <v>214</v>
      </c>
      <c r="B38" s="336" t="s">
        <v>38</v>
      </c>
      <c r="C38" s="336">
        <v>2</v>
      </c>
      <c r="D38" s="761">
        <f>+'PREC marzo 2014'!E212</f>
        <v>11203</v>
      </c>
      <c r="E38" s="761">
        <f t="shared" si="7"/>
        <v>22406</v>
      </c>
      <c r="F38" s="338">
        <f t="shared" si="4"/>
        <v>41.604307863708108</v>
      </c>
      <c r="G38" s="339">
        <f t="shared" si="8"/>
        <v>0.86614402876056906</v>
      </c>
    </row>
    <row r="39" spans="1:7">
      <c r="A39" s="336"/>
      <c r="B39" s="336"/>
      <c r="C39" s="336"/>
      <c r="D39" s="761"/>
      <c r="E39" s="761"/>
      <c r="F39" s="338"/>
      <c r="G39" s="339"/>
    </row>
    <row r="40" spans="1:7">
      <c r="A40" s="336" t="s">
        <v>172</v>
      </c>
      <c r="B40" s="336" t="s">
        <v>36</v>
      </c>
      <c r="C40" s="336">
        <v>0.1</v>
      </c>
      <c r="D40" s="761">
        <f>+'PREC marzo 2014'!E174</f>
        <v>19075</v>
      </c>
      <c r="E40" s="761">
        <f>+D40*C40</f>
        <v>1907.5</v>
      </c>
      <c r="F40" s="338">
        <f t="shared" si="4"/>
        <v>3.5419181134527902</v>
      </c>
      <c r="G40" s="339">
        <f>+E40/$E$43*100</f>
        <v>7.3737826245683549E-2</v>
      </c>
    </row>
    <row r="41" spans="1:7" ht="13.5" thickBot="1">
      <c r="A41" s="346" t="s">
        <v>156</v>
      </c>
      <c r="B41" s="347"/>
      <c r="C41" s="347"/>
      <c r="D41" s="347"/>
      <c r="E41" s="348">
        <f>SUM(E29:E40)</f>
        <v>1169756.3666666667</v>
      </c>
      <c r="F41" s="348">
        <f>SUM(F29:F40)</f>
        <v>2172.0478445207814</v>
      </c>
      <c r="G41" s="349">
        <f>+E41/$E$43*100</f>
        <v>45.219025800811927</v>
      </c>
    </row>
    <row r="42" spans="1:7" ht="14.25" thickTop="1" thickBot="1">
      <c r="A42" s="350" t="s">
        <v>372</v>
      </c>
      <c r="B42" s="351"/>
      <c r="C42" s="351"/>
      <c r="D42" s="351"/>
      <c r="E42" s="352">
        <v>60000</v>
      </c>
      <c r="F42" s="353">
        <f>+E42/$F$3</f>
        <v>111.41026831306286</v>
      </c>
      <c r="G42" s="354">
        <f>+E42/$E$43*100</f>
        <v>2.3194073786322478</v>
      </c>
    </row>
    <row r="43" spans="1:7" ht="14.25" thickTop="1" thickBot="1">
      <c r="A43" s="498" t="s">
        <v>70</v>
      </c>
      <c r="B43" s="499"/>
      <c r="C43" s="499"/>
      <c r="D43" s="499"/>
      <c r="E43" s="500">
        <f>+E41+E26+E13+E42</f>
        <v>2586867.6866666665</v>
      </c>
      <c r="F43" s="500">
        <f>+F41+F26+F13+F42</f>
        <v>4934.1275711942571</v>
      </c>
      <c r="G43" s="507">
        <f>+E43/E43*100</f>
        <v>100</v>
      </c>
    </row>
    <row r="44" spans="1:7" ht="13.5" thickTop="1">
      <c r="A44" s="332" t="s">
        <v>9</v>
      </c>
      <c r="B44" s="332"/>
      <c r="C44" s="332"/>
      <c r="D44" s="332"/>
      <c r="E44" s="332"/>
      <c r="F44" s="332"/>
      <c r="G44" s="332"/>
    </row>
    <row r="45" spans="1:7">
      <c r="A45" s="611" t="s">
        <v>373</v>
      </c>
      <c r="B45" s="1042">
        <v>110000</v>
      </c>
      <c r="C45" s="611" t="s">
        <v>374</v>
      </c>
      <c r="D45" s="332"/>
      <c r="E45" s="332"/>
      <c r="F45" s="1011" t="s">
        <v>9</v>
      </c>
      <c r="G45" s="332" t="s">
        <v>9</v>
      </c>
    </row>
    <row r="46" spans="1:7">
      <c r="A46" s="611" t="s">
        <v>644</v>
      </c>
      <c r="B46" s="1043">
        <f>+E43/B45</f>
        <v>23.516978969696968</v>
      </c>
      <c r="C46" s="611" t="s">
        <v>375</v>
      </c>
      <c r="D46" s="332"/>
      <c r="E46" s="332"/>
      <c r="F46" s="332"/>
      <c r="G46" s="332"/>
    </row>
    <row r="47" spans="1:7">
      <c r="A47" s="1019" t="str">
        <f>'papa 1'!D64</f>
        <v>Precio finca mayo 2015</v>
      </c>
      <c r="B47" s="826">
        <f>resumen!F10</f>
        <v>150</v>
      </c>
      <c r="C47" s="611" t="s">
        <v>375</v>
      </c>
      <c r="D47" s="332"/>
      <c r="E47" s="332"/>
      <c r="F47" s="332"/>
      <c r="G47" s="332" t="s">
        <v>9</v>
      </c>
    </row>
    <row r="48" spans="1:7">
      <c r="A48" s="229" t="s">
        <v>653</v>
      </c>
      <c r="B48" s="332"/>
      <c r="C48" s="332"/>
      <c r="D48" s="332"/>
      <c r="E48" s="332"/>
      <c r="F48" s="332"/>
      <c r="G48" s="332" t="s">
        <v>9</v>
      </c>
    </row>
    <row r="49" spans="1:1">
      <c r="A49" s="229" t="s">
        <v>9</v>
      </c>
    </row>
  </sheetData>
  <phoneticPr fontId="34" type="noConversion"/>
  <pageMargins left="0.78740157480314965" right="0.39370078740157483" top="0.78740157480314965" bottom="0.78740157480314965" header="0" footer="0"/>
  <pageSetup orientation="portrait" horizontalDpi="120" verticalDpi="144"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topLeftCell="A28" workbookViewId="0">
      <selection sqref="A1:G61"/>
    </sheetView>
  </sheetViews>
  <sheetFormatPr baseColWidth="10" defaultRowHeight="12.75"/>
  <cols>
    <col min="1" max="1" width="27.5703125" customWidth="1"/>
    <col min="2" max="2" width="10.140625" customWidth="1"/>
    <col min="3" max="3" width="9" customWidth="1"/>
    <col min="4" max="4" width="9.7109375" customWidth="1"/>
    <col min="5" max="5" width="11" customWidth="1"/>
    <col min="6" max="7" width="9.28515625" customWidth="1"/>
  </cols>
  <sheetData>
    <row r="1" spans="1:7" ht="13.5" thickBot="1">
      <c r="A1" s="1124" t="s">
        <v>219</v>
      </c>
      <c r="B1" s="174"/>
      <c r="C1" s="174"/>
      <c r="D1" s="174"/>
      <c r="E1" s="174"/>
      <c r="F1" s="174" t="s">
        <v>9</v>
      </c>
      <c r="G1" s="174"/>
    </row>
    <row r="2" spans="1:7">
      <c r="A2" s="177" t="s">
        <v>220</v>
      </c>
      <c r="B2" s="174"/>
      <c r="C2" s="174"/>
      <c r="D2" s="143"/>
      <c r="E2" s="178" t="s">
        <v>221</v>
      </c>
      <c r="F2" s="179">
        <f>+'PREC marzo 2014'!E11</f>
        <v>985.47749999999996</v>
      </c>
      <c r="G2" s="180" t="s">
        <v>8</v>
      </c>
    </row>
    <row r="3" spans="1:7" ht="13.5" thickBot="1">
      <c r="A3" s="53" t="s">
        <v>188</v>
      </c>
      <c r="B3" s="54">
        <f>+'PREC marzo 2014'!B3</f>
        <v>42143</v>
      </c>
      <c r="D3" s="181"/>
      <c r="E3" s="182" t="s">
        <v>222</v>
      </c>
      <c r="F3" s="183">
        <f>+'PREC marzo 2014'!B4</f>
        <v>538.54999999999995</v>
      </c>
      <c r="G3" s="184" t="s">
        <v>8</v>
      </c>
    </row>
    <row r="4" spans="1:7">
      <c r="A4" s="544"/>
      <c r="B4" s="544"/>
      <c r="C4" s="545" t="s">
        <v>9</v>
      </c>
      <c r="D4" s="546" t="s">
        <v>223</v>
      </c>
      <c r="E4" s="544" t="s">
        <v>223</v>
      </c>
      <c r="F4" s="545" t="s">
        <v>224</v>
      </c>
      <c r="G4" s="545" t="s">
        <v>223</v>
      </c>
    </row>
    <row r="5" spans="1:7">
      <c r="A5" s="546" t="s">
        <v>95</v>
      </c>
      <c r="B5" s="546" t="s">
        <v>225</v>
      </c>
      <c r="C5" s="546" t="s">
        <v>226</v>
      </c>
      <c r="D5" s="546" t="s">
        <v>227</v>
      </c>
      <c r="E5" s="546" t="s">
        <v>228</v>
      </c>
      <c r="F5" s="547" t="s">
        <v>9</v>
      </c>
      <c r="G5" s="546" t="s">
        <v>229</v>
      </c>
    </row>
    <row r="6" spans="1:7" ht="13.5" thickBot="1">
      <c r="A6" s="548"/>
      <c r="B6" s="548"/>
      <c r="C6" s="548"/>
      <c r="D6" s="549" t="s">
        <v>9</v>
      </c>
      <c r="E6" s="549" t="s">
        <v>230</v>
      </c>
      <c r="F6" s="549" t="s">
        <v>82</v>
      </c>
      <c r="G6" s="549" t="s">
        <v>231</v>
      </c>
    </row>
    <row r="7" spans="1:7">
      <c r="A7" s="186" t="s">
        <v>134</v>
      </c>
      <c r="B7" s="187"/>
      <c r="C7" s="187"/>
      <c r="D7" s="187"/>
      <c r="E7" s="187"/>
      <c r="F7" s="187"/>
      <c r="G7" s="187"/>
    </row>
    <row r="8" spans="1:7">
      <c r="A8" s="188" t="s">
        <v>202</v>
      </c>
      <c r="B8" s="189"/>
      <c r="C8" s="187"/>
      <c r="D8" s="187"/>
      <c r="E8" s="190" t="s">
        <v>9</v>
      </c>
      <c r="F8" s="187"/>
      <c r="G8" s="187"/>
    </row>
    <row r="9" spans="1:7">
      <c r="A9" s="188" t="s">
        <v>232</v>
      </c>
      <c r="B9" s="191" t="s">
        <v>233</v>
      </c>
      <c r="C9" s="192">
        <v>4</v>
      </c>
      <c r="D9" s="193">
        <f>+'PREC marzo 2014'!C7</f>
        <v>18000</v>
      </c>
      <c r="E9" s="193">
        <f>C9*D9</f>
        <v>72000</v>
      </c>
      <c r="F9" s="194">
        <f>E9/$E$55*100</f>
        <v>0.83307921502280435</v>
      </c>
      <c r="G9" s="194">
        <f>E9/$F$3</f>
        <v>133.69232197567544</v>
      </c>
    </row>
    <row r="10" spans="1:7">
      <c r="A10" s="188" t="s">
        <v>175</v>
      </c>
      <c r="B10" s="191" t="s">
        <v>233</v>
      </c>
      <c r="C10" s="192">
        <v>8</v>
      </c>
      <c r="D10" s="193">
        <f>+D9</f>
        <v>18000</v>
      </c>
      <c r="E10" s="193">
        <f>C10*D10</f>
        <v>144000</v>
      </c>
      <c r="F10" s="194">
        <f>E10/$E$55*100</f>
        <v>1.6661584300456087</v>
      </c>
      <c r="G10" s="194">
        <f>E10/$F$3</f>
        <v>267.38464395135088</v>
      </c>
    </row>
    <row r="11" spans="1:7">
      <c r="A11" s="195" t="s">
        <v>140</v>
      </c>
      <c r="B11" s="196"/>
      <c r="C11" s="197"/>
      <c r="D11" s="198"/>
      <c r="E11" s="199">
        <f>SUM(E9:E10)</f>
        <v>216000</v>
      </c>
      <c r="F11" s="200">
        <f>E11/$E$55*100</f>
        <v>2.4992376450684128</v>
      </c>
      <c r="G11" s="200">
        <f>SUM(G9:G10)</f>
        <v>401.07696592702632</v>
      </c>
    </row>
    <row r="12" spans="1:7">
      <c r="A12" s="186" t="s">
        <v>9</v>
      </c>
      <c r="B12" s="201"/>
      <c r="C12" s="192" t="s">
        <v>9</v>
      </c>
      <c r="E12" s="193"/>
      <c r="F12" s="194" t="s">
        <v>9</v>
      </c>
      <c r="G12" s="194"/>
    </row>
    <row r="13" spans="1:7">
      <c r="A13" s="186" t="s">
        <v>234</v>
      </c>
      <c r="B13" s="191" t="s">
        <v>9</v>
      </c>
      <c r="C13" s="202" t="s">
        <v>9</v>
      </c>
      <c r="D13" s="194" t="s">
        <v>9</v>
      </c>
      <c r="E13" s="193" t="s">
        <v>9</v>
      </c>
      <c r="F13" s="194" t="s">
        <v>9</v>
      </c>
      <c r="G13" s="194"/>
    </row>
    <row r="14" spans="1:7">
      <c r="A14" s="186" t="s">
        <v>141</v>
      </c>
      <c r="B14" s="201"/>
      <c r="C14" s="192" t="s">
        <v>9</v>
      </c>
      <c r="D14" s="194"/>
      <c r="E14" s="193"/>
      <c r="F14" s="194" t="s">
        <v>9</v>
      </c>
      <c r="G14" s="194"/>
    </row>
    <row r="15" spans="1:7">
      <c r="A15" s="188" t="s">
        <v>235</v>
      </c>
      <c r="B15" s="191" t="s">
        <v>143</v>
      </c>
      <c r="C15" s="192">
        <v>33</v>
      </c>
      <c r="D15" s="194">
        <f>+F2*8</f>
        <v>7883.82</v>
      </c>
      <c r="E15" s="193">
        <f t="shared" ref="E15:E26" si="0">C15*D15</f>
        <v>260166.06</v>
      </c>
      <c r="F15" s="194">
        <f t="shared" ref="F15:F29" si="1">E15/$E$55*100</f>
        <v>3.0102630144496643</v>
      </c>
      <c r="G15" s="194">
        <f t="shared" ref="G15:G28" si="2">E15/$F$3</f>
        <v>483.08617584254017</v>
      </c>
    </row>
    <row r="16" spans="1:7">
      <c r="A16" s="188" t="s">
        <v>236</v>
      </c>
      <c r="B16" s="191" t="s">
        <v>143</v>
      </c>
      <c r="C16" s="192">
        <v>5</v>
      </c>
      <c r="D16" s="194">
        <f>+D15</f>
        <v>7883.82</v>
      </c>
      <c r="E16" s="193">
        <f t="shared" si="0"/>
        <v>39419.1</v>
      </c>
      <c r="F16" s="194">
        <f t="shared" si="1"/>
        <v>0.45610045673479754</v>
      </c>
      <c r="G16" s="194">
        <f t="shared" si="2"/>
        <v>73.194875127657596</v>
      </c>
    </row>
    <row r="17" spans="1:7">
      <c r="A17" s="188" t="s">
        <v>237</v>
      </c>
      <c r="B17" s="191" t="s">
        <v>143</v>
      </c>
      <c r="C17" s="192">
        <v>36</v>
      </c>
      <c r="D17" s="194">
        <f>+D16</f>
        <v>7883.82</v>
      </c>
      <c r="E17" s="193">
        <f t="shared" si="0"/>
        <v>283817.52</v>
      </c>
      <c r="F17" s="194">
        <f t="shared" si="1"/>
        <v>3.2839232884905432</v>
      </c>
      <c r="G17" s="194">
        <f t="shared" si="2"/>
        <v>527.00310091913479</v>
      </c>
    </row>
    <row r="18" spans="1:7">
      <c r="A18" s="188" t="s">
        <v>238</v>
      </c>
      <c r="B18" s="191" t="s">
        <v>143</v>
      </c>
      <c r="C18" s="192">
        <v>3</v>
      </c>
      <c r="D18" s="194">
        <f>+D17</f>
        <v>7883.82</v>
      </c>
      <c r="E18" s="193">
        <f t="shared" si="0"/>
        <v>23651.46</v>
      </c>
      <c r="F18" s="194">
        <f t="shared" si="1"/>
        <v>0.27366027404087856</v>
      </c>
      <c r="G18" s="194">
        <f t="shared" si="2"/>
        <v>43.916925076594559</v>
      </c>
    </row>
    <row r="19" spans="1:7">
      <c r="A19" s="188" t="s">
        <v>239</v>
      </c>
      <c r="B19" s="191" t="s">
        <v>143</v>
      </c>
      <c r="C19" s="192">
        <v>15</v>
      </c>
      <c r="D19" s="194">
        <f>+D18</f>
        <v>7883.82</v>
      </c>
      <c r="E19" s="193">
        <f t="shared" si="0"/>
        <v>118257.29999999999</v>
      </c>
      <c r="F19" s="194">
        <f t="shared" si="1"/>
        <v>1.3683013702043927</v>
      </c>
      <c r="G19" s="194">
        <f t="shared" si="2"/>
        <v>219.5846253829728</v>
      </c>
    </row>
    <row r="20" spans="1:7">
      <c r="A20" s="188" t="s">
        <v>240</v>
      </c>
      <c r="B20" s="191" t="s">
        <v>143</v>
      </c>
      <c r="C20" s="192">
        <v>24</v>
      </c>
      <c r="D20" s="194">
        <f>+D18</f>
        <v>7883.82</v>
      </c>
      <c r="E20" s="193">
        <f t="shared" si="0"/>
        <v>189211.68</v>
      </c>
      <c r="F20" s="194">
        <f t="shared" si="1"/>
        <v>2.1892821923270285</v>
      </c>
      <c r="G20" s="194">
        <f t="shared" si="2"/>
        <v>351.33540061275647</v>
      </c>
    </row>
    <row r="21" spans="1:7">
      <c r="A21" s="188" t="s">
        <v>241</v>
      </c>
      <c r="B21" s="191" t="s">
        <v>143</v>
      </c>
      <c r="C21" s="192">
        <v>34</v>
      </c>
      <c r="D21" s="194">
        <f>+D19</f>
        <v>7883.82</v>
      </c>
      <c r="E21" s="193">
        <f t="shared" si="0"/>
        <v>268049.88</v>
      </c>
      <c r="F21" s="194">
        <f t="shared" si="1"/>
        <v>3.1014831057966235</v>
      </c>
      <c r="G21" s="194">
        <f t="shared" si="2"/>
        <v>497.72515086807175</v>
      </c>
    </row>
    <row r="22" spans="1:7">
      <c r="A22" s="188" t="s">
        <v>242</v>
      </c>
      <c r="B22" s="191" t="s">
        <v>143</v>
      </c>
      <c r="C22" s="192">
        <v>80</v>
      </c>
      <c r="D22" s="194">
        <f>+D21</f>
        <v>7883.82</v>
      </c>
      <c r="E22" s="193">
        <f t="shared" si="0"/>
        <v>630705.6</v>
      </c>
      <c r="F22" s="194">
        <f t="shared" si="1"/>
        <v>7.2976073077567607</v>
      </c>
      <c r="G22" s="194">
        <f t="shared" si="2"/>
        <v>1171.1180020425215</v>
      </c>
    </row>
    <row r="23" spans="1:7">
      <c r="A23" s="188" t="s">
        <v>243</v>
      </c>
      <c r="B23" s="191" t="s">
        <v>143</v>
      </c>
      <c r="C23" s="192">
        <v>30</v>
      </c>
      <c r="D23" s="194">
        <f>+D22</f>
        <v>7883.82</v>
      </c>
      <c r="E23" s="193">
        <f t="shared" si="0"/>
        <v>236514.59999999998</v>
      </c>
      <c r="F23" s="194">
        <f t="shared" si="1"/>
        <v>2.7366027404087854</v>
      </c>
      <c r="G23" s="194">
        <f t="shared" si="2"/>
        <v>439.16925076594561</v>
      </c>
    </row>
    <row r="24" spans="1:7">
      <c r="A24" s="188" t="s">
        <v>211</v>
      </c>
      <c r="B24" s="191" t="s">
        <v>143</v>
      </c>
      <c r="C24" s="192">
        <v>80</v>
      </c>
      <c r="D24" s="194">
        <f>+D23</f>
        <v>7883.82</v>
      </c>
      <c r="E24" s="193">
        <f t="shared" si="0"/>
        <v>630705.6</v>
      </c>
      <c r="F24" s="194">
        <f t="shared" si="1"/>
        <v>7.2976073077567607</v>
      </c>
      <c r="G24" s="194">
        <f t="shared" si="2"/>
        <v>1171.1180020425215</v>
      </c>
    </row>
    <row r="25" spans="1:7">
      <c r="A25" s="188" t="s">
        <v>244</v>
      </c>
      <c r="B25" s="191" t="s">
        <v>143</v>
      </c>
      <c r="C25" s="192">
        <v>27</v>
      </c>
      <c r="D25" s="194">
        <f>+D24</f>
        <v>7883.82</v>
      </c>
      <c r="E25" s="193">
        <f t="shared" si="0"/>
        <v>212863.13999999998</v>
      </c>
      <c r="F25" s="194">
        <f t="shared" si="1"/>
        <v>2.4629424663679069</v>
      </c>
      <c r="G25" s="194">
        <f t="shared" si="2"/>
        <v>395.25232568935104</v>
      </c>
    </row>
    <row r="26" spans="1:7">
      <c r="A26" s="188" t="s">
        <v>245</v>
      </c>
      <c r="B26" s="191" t="s">
        <v>143</v>
      </c>
      <c r="C26" s="192">
        <v>10</v>
      </c>
      <c r="D26" s="194">
        <f>+D25</f>
        <v>7883.82</v>
      </c>
      <c r="E26" s="193">
        <f t="shared" si="0"/>
        <v>78838.2</v>
      </c>
      <c r="F26" s="194">
        <f t="shared" si="1"/>
        <v>0.91220091346959509</v>
      </c>
      <c r="G26" s="194">
        <f t="shared" si="2"/>
        <v>146.38975025531519</v>
      </c>
    </row>
    <row r="27" spans="1:7">
      <c r="A27" s="195" t="s">
        <v>246</v>
      </c>
      <c r="B27" s="203"/>
      <c r="C27" s="204"/>
      <c r="D27" s="200"/>
      <c r="E27" s="199">
        <f>SUM(E15:E26)</f>
        <v>2972200.1400000006</v>
      </c>
      <c r="F27" s="200">
        <f t="shared" si="1"/>
        <v>34.389974437803744</v>
      </c>
      <c r="G27" s="200">
        <f>SUM(G15:G26)</f>
        <v>5518.8935846253835</v>
      </c>
    </row>
    <row r="28" spans="1:7">
      <c r="A28" s="238" t="s">
        <v>718</v>
      </c>
      <c r="B28" s="203" t="s">
        <v>719</v>
      </c>
      <c r="C28" s="240"/>
      <c r="D28" s="240"/>
      <c r="E28" s="274">
        <f>'PREC marzo 2014'!E10*2</f>
        <v>336000</v>
      </c>
      <c r="F28" s="194">
        <f t="shared" si="1"/>
        <v>3.8877030034397535</v>
      </c>
      <c r="G28" s="194">
        <f t="shared" si="2"/>
        <v>623.89750255315198</v>
      </c>
    </row>
    <row r="29" spans="1:7">
      <c r="A29" s="195" t="s">
        <v>247</v>
      </c>
      <c r="B29" s="203"/>
      <c r="C29" s="207"/>
      <c r="D29" s="208"/>
      <c r="E29" s="199">
        <f>E28+E27</f>
        <v>3308200.1400000006</v>
      </c>
      <c r="F29" s="200">
        <f t="shared" si="1"/>
        <v>38.277677441243505</v>
      </c>
      <c r="G29" s="200">
        <f>G28+G27</f>
        <v>6142.7910871785352</v>
      </c>
    </row>
    <row r="30" spans="1:7">
      <c r="A30" s="186" t="s">
        <v>248</v>
      </c>
      <c r="B30" s="201"/>
      <c r="C30" s="205"/>
      <c r="D30" s="206"/>
      <c r="E30" s="209"/>
      <c r="F30" s="206"/>
      <c r="G30" s="194"/>
    </row>
    <row r="31" spans="1:7">
      <c r="A31" s="190" t="s">
        <v>872</v>
      </c>
      <c r="B31" s="191" t="s">
        <v>474</v>
      </c>
      <c r="C31" s="493">
        <v>13000</v>
      </c>
      <c r="D31" s="492">
        <f>+'PREC marzo 2014'!C30</f>
        <v>110</v>
      </c>
      <c r="E31" s="193">
        <f>C31*D31</f>
        <v>1430000</v>
      </c>
      <c r="F31" s="194">
        <f>E31/$E$55*100</f>
        <v>16.545878853925142</v>
      </c>
      <c r="G31" s="194">
        <f>E31/$F$3</f>
        <v>2655.2780614613316</v>
      </c>
    </row>
    <row r="32" spans="1:7">
      <c r="A32" s="188" t="s">
        <v>249</v>
      </c>
      <c r="B32" s="201"/>
      <c r="C32" s="205"/>
      <c r="D32" s="206"/>
      <c r="E32" s="209">
        <v>20000</v>
      </c>
      <c r="F32" s="194">
        <f>E32/$E$55*100</f>
        <v>0.23141089306189011</v>
      </c>
      <c r="G32" s="194">
        <f>E32/$F$3</f>
        <v>37.136756104354291</v>
      </c>
    </row>
    <row r="33" spans="1:7">
      <c r="A33" s="188" t="s">
        <v>250</v>
      </c>
      <c r="B33" s="191" t="s">
        <v>36</v>
      </c>
      <c r="C33" s="192">
        <v>500</v>
      </c>
      <c r="D33" s="194">
        <f>+'PREC marzo 2014'!E65</f>
        <v>388.99333333333334</v>
      </c>
      <c r="E33" s="193">
        <f t="shared" ref="E33:E48" si="3">C33*D33</f>
        <v>194496.66666666666</v>
      </c>
      <c r="F33" s="194">
        <f t="shared" ref="F33:F49" si="4">E33/$E$55*100</f>
        <v>2.2504323665447039</v>
      </c>
      <c r="G33" s="194">
        <f t="shared" ref="G33:G48" si="5">E33/$F$3</f>
        <v>361.14876365549469</v>
      </c>
    </row>
    <row r="34" spans="1:7">
      <c r="A34" s="191" t="s">
        <v>765</v>
      </c>
      <c r="B34" s="191" t="s">
        <v>36</v>
      </c>
      <c r="C34" s="192">
        <v>834</v>
      </c>
      <c r="D34" s="194">
        <f>'PREC marzo 2014'!E78</f>
        <v>426.66666666666669</v>
      </c>
      <c r="E34" s="193">
        <f t="shared" si="3"/>
        <v>355840</v>
      </c>
      <c r="F34" s="194">
        <f t="shared" si="4"/>
        <v>4.1172626093571489</v>
      </c>
      <c r="G34" s="194">
        <f t="shared" si="5"/>
        <v>660.73716460867149</v>
      </c>
    </row>
    <row r="35" spans="1:7">
      <c r="A35" s="191" t="s">
        <v>252</v>
      </c>
      <c r="B35" s="191" t="s">
        <v>36</v>
      </c>
      <c r="C35" s="192">
        <v>834</v>
      </c>
      <c r="D35" s="194">
        <f>+'PREC marzo 2014'!E84</f>
        <v>209.78260869565219</v>
      </c>
      <c r="E35" s="193">
        <f t="shared" si="3"/>
        <v>174958.69565217392</v>
      </c>
      <c r="F35" s="194">
        <f t="shared" si="4"/>
        <v>2.0243674004906498</v>
      </c>
      <c r="G35" s="194">
        <f t="shared" si="5"/>
        <v>324.86992043853667</v>
      </c>
    </row>
    <row r="36" spans="1:7">
      <c r="A36" s="188" t="s">
        <v>253</v>
      </c>
      <c r="B36" s="191" t="s">
        <v>36</v>
      </c>
      <c r="C36" s="192">
        <v>9</v>
      </c>
      <c r="D36" s="194">
        <f>+'PREC marzo 2014'!E170</f>
        <v>17436</v>
      </c>
      <c r="E36" s="193">
        <f t="shared" si="3"/>
        <v>156924</v>
      </c>
      <c r="F36" s="194">
        <f t="shared" si="4"/>
        <v>1.8156961491422021</v>
      </c>
      <c r="G36" s="194">
        <f t="shared" si="5"/>
        <v>291.38241574598459</v>
      </c>
    </row>
    <row r="37" spans="1:7">
      <c r="A37" s="191" t="s">
        <v>254</v>
      </c>
      <c r="B37" s="191" t="s">
        <v>36</v>
      </c>
      <c r="C37" s="192">
        <v>3</v>
      </c>
      <c r="D37" s="194">
        <f>+'PREC marzo 2014'!E173</f>
        <v>5000</v>
      </c>
      <c r="E37" s="193">
        <f t="shared" si="3"/>
        <v>15000</v>
      </c>
      <c r="F37" s="194">
        <f t="shared" si="4"/>
        <v>0.17355816979641758</v>
      </c>
      <c r="G37" s="194">
        <f t="shared" si="5"/>
        <v>27.852567078265714</v>
      </c>
    </row>
    <row r="38" spans="1:7">
      <c r="A38" s="191" t="s">
        <v>116</v>
      </c>
      <c r="B38" s="191" t="s">
        <v>36</v>
      </c>
      <c r="C38" s="192">
        <v>40</v>
      </c>
      <c r="D38" s="210">
        <f>+'PREC marzo 2014'!E139</f>
        <v>19896</v>
      </c>
      <c r="E38" s="193">
        <f t="shared" si="3"/>
        <v>795840</v>
      </c>
      <c r="F38" s="194">
        <f t="shared" si="4"/>
        <v>9.2083022567187314</v>
      </c>
      <c r="G38" s="194">
        <f t="shared" si="5"/>
        <v>1477.7457989044658</v>
      </c>
    </row>
    <row r="39" spans="1:7">
      <c r="A39" s="191" t="s">
        <v>117</v>
      </c>
      <c r="B39" s="191" t="s">
        <v>36</v>
      </c>
      <c r="C39" s="192">
        <v>36</v>
      </c>
      <c r="D39" s="210">
        <f>'PREC marzo 2014'!E155</f>
        <v>17252</v>
      </c>
      <c r="E39" s="193">
        <f t="shared" si="3"/>
        <v>621072</v>
      </c>
      <c r="F39" s="194">
        <f t="shared" si="4"/>
        <v>7.1861413087867101</v>
      </c>
      <c r="G39" s="194">
        <f t="shared" si="5"/>
        <v>1153.2299693621762</v>
      </c>
    </row>
    <row r="40" spans="1:7">
      <c r="A40" s="191" t="s">
        <v>652</v>
      </c>
      <c r="B40" s="191" t="s">
        <v>38</v>
      </c>
      <c r="C40" s="192">
        <v>2</v>
      </c>
      <c r="D40" s="210">
        <f>'PREC marzo 2014'!E194</f>
        <v>7540</v>
      </c>
      <c r="E40" s="193">
        <f>C40*D40</f>
        <v>15080</v>
      </c>
      <c r="F40" s="194">
        <f t="shared" si="4"/>
        <v>0.17448381336866511</v>
      </c>
      <c r="G40" s="194">
        <f>E40/$F$3</f>
        <v>28.001114102683133</v>
      </c>
    </row>
    <row r="41" spans="1:7">
      <c r="A41" s="188" t="s">
        <v>255</v>
      </c>
      <c r="B41" s="191" t="s">
        <v>38</v>
      </c>
      <c r="C41" s="192">
        <v>1</v>
      </c>
      <c r="D41" s="194">
        <f>'PREC marzo 2014'!E186</f>
        <v>32000</v>
      </c>
      <c r="E41" s="193">
        <f t="shared" si="3"/>
        <v>32000</v>
      </c>
      <c r="F41" s="194">
        <f t="shared" si="4"/>
        <v>0.37025742889902413</v>
      </c>
      <c r="G41" s="194">
        <f t="shared" si="5"/>
        <v>59.418809766966859</v>
      </c>
    </row>
    <row r="42" spans="1:7">
      <c r="A42" s="191" t="s">
        <v>256</v>
      </c>
      <c r="B42" s="191" t="s">
        <v>36</v>
      </c>
      <c r="C42" s="192">
        <v>0.5</v>
      </c>
      <c r="D42" s="194">
        <f>+'PREC marzo 2014'!E211</f>
        <v>97000</v>
      </c>
      <c r="E42" s="193">
        <f t="shared" si="3"/>
        <v>48500</v>
      </c>
      <c r="F42" s="194">
        <f t="shared" si="4"/>
        <v>0.56117141567508344</v>
      </c>
      <c r="G42" s="194">
        <f t="shared" si="5"/>
        <v>90.056633553059143</v>
      </c>
    </row>
    <row r="43" spans="1:7">
      <c r="A43" s="191" t="s">
        <v>127</v>
      </c>
      <c r="B43" s="191" t="s">
        <v>36</v>
      </c>
      <c r="C43" s="192">
        <v>2</v>
      </c>
      <c r="D43" s="194">
        <f>+'PREC marzo 2014'!E200</f>
        <v>20384</v>
      </c>
      <c r="E43" s="193">
        <f>C43*D43</f>
        <v>40768</v>
      </c>
      <c r="F43" s="194">
        <f t="shared" si="4"/>
        <v>0.47170796441735674</v>
      </c>
      <c r="G43" s="194">
        <f>E43/$F$3</f>
        <v>75.699563643115781</v>
      </c>
    </row>
    <row r="44" spans="1:7">
      <c r="A44" s="188" t="s">
        <v>257</v>
      </c>
      <c r="B44" s="191" t="s">
        <v>38</v>
      </c>
      <c r="C44" s="192">
        <v>2</v>
      </c>
      <c r="D44" s="194">
        <f>+'PREC marzo 2014'!E109</f>
        <v>3011</v>
      </c>
      <c r="E44" s="193">
        <f t="shared" si="3"/>
        <v>6022</v>
      </c>
      <c r="F44" s="194">
        <f t="shared" si="4"/>
        <v>6.9677819900935106E-2</v>
      </c>
      <c r="G44" s="194">
        <f t="shared" si="5"/>
        <v>11.181877263021075</v>
      </c>
    </row>
    <row r="45" spans="1:7">
      <c r="A45" s="191" t="s">
        <v>213</v>
      </c>
      <c r="B45" s="191" t="s">
        <v>38</v>
      </c>
      <c r="C45" s="192">
        <v>2</v>
      </c>
      <c r="D45" s="194">
        <f>+'PREC marzo 2014'!E116</f>
        <v>18050</v>
      </c>
      <c r="E45" s="193">
        <f t="shared" si="3"/>
        <v>36100</v>
      </c>
      <c r="F45" s="194">
        <f t="shared" si="4"/>
        <v>0.41769666197671157</v>
      </c>
      <c r="G45" s="194">
        <f t="shared" si="5"/>
        <v>67.031844768359491</v>
      </c>
    </row>
    <row r="46" spans="1:7">
      <c r="A46" s="188" t="s">
        <v>258</v>
      </c>
      <c r="B46" s="191" t="s">
        <v>36</v>
      </c>
      <c r="C46" s="192">
        <v>0.5</v>
      </c>
      <c r="D46" s="194">
        <f>+'PREC marzo 2014'!E226</f>
        <v>41764</v>
      </c>
      <c r="E46" s="193">
        <f t="shared" si="3"/>
        <v>20882</v>
      </c>
      <c r="F46" s="194">
        <f t="shared" si="4"/>
        <v>0.24161611344591946</v>
      </c>
      <c r="G46" s="194">
        <f t="shared" si="5"/>
        <v>38.77448704855631</v>
      </c>
    </row>
    <row r="47" spans="1:7">
      <c r="A47" s="191" t="s">
        <v>259</v>
      </c>
      <c r="B47" s="191" t="s">
        <v>38</v>
      </c>
      <c r="C47" s="192">
        <v>1</v>
      </c>
      <c r="D47" s="194">
        <f>+'PREC marzo 2014'!E219</f>
        <v>18520</v>
      </c>
      <c r="E47" s="193">
        <f t="shared" si="3"/>
        <v>18520</v>
      </c>
      <c r="F47" s="194">
        <f t="shared" si="4"/>
        <v>0.21428648697531025</v>
      </c>
      <c r="G47" s="194">
        <f t="shared" si="5"/>
        <v>34.388636152632067</v>
      </c>
    </row>
    <row r="48" spans="1:7" ht="13.5" thickBot="1">
      <c r="A48" s="188" t="s">
        <v>1170</v>
      </c>
      <c r="B48" s="191" t="s">
        <v>38</v>
      </c>
      <c r="C48" s="192">
        <v>2</v>
      </c>
      <c r="D48" s="194">
        <f>'PREC marzo 2014'!E236</f>
        <v>5716</v>
      </c>
      <c r="E48" s="193">
        <f t="shared" si="3"/>
        <v>11432</v>
      </c>
      <c r="F48" s="194">
        <f t="shared" si="4"/>
        <v>0.13227446647417637</v>
      </c>
      <c r="G48" s="194">
        <f t="shared" si="5"/>
        <v>21.227369789248911</v>
      </c>
    </row>
    <row r="49" spans="1:8" ht="13.5" thickBot="1">
      <c r="A49" s="211" t="s">
        <v>156</v>
      </c>
      <c r="B49" s="212" t="s">
        <v>9</v>
      </c>
      <c r="C49" s="213" t="s">
        <v>9</v>
      </c>
      <c r="D49" s="214" t="s">
        <v>9</v>
      </c>
      <c r="E49" s="215">
        <f>SUM(E31:E48)</f>
        <v>3993435.3623188408</v>
      </c>
      <c r="F49" s="214">
        <f t="shared" si="4"/>
        <v>46.206222178956779</v>
      </c>
      <c r="G49" s="214">
        <f>SUM(G33:G48)</f>
        <v>4722.7469358812386</v>
      </c>
    </row>
    <row r="50" spans="1:8">
      <c r="A50" s="186" t="s">
        <v>66</v>
      </c>
      <c r="B50" s="216"/>
      <c r="C50" s="185"/>
      <c r="D50" s="217"/>
      <c r="E50" s="218"/>
      <c r="F50" s="217"/>
      <c r="G50" s="217"/>
    </row>
    <row r="51" spans="1:8">
      <c r="A51" s="188" t="s">
        <v>260</v>
      </c>
      <c r="B51" s="191" t="s">
        <v>126</v>
      </c>
      <c r="C51" s="192">
        <v>6000</v>
      </c>
      <c r="D51" s="194">
        <f>+'PREC marzo 2014'!C47</f>
        <v>150</v>
      </c>
      <c r="E51" s="193">
        <f>C51*D51</f>
        <v>900000</v>
      </c>
      <c r="F51" s="194">
        <f>E51/$E$55*100</f>
        <v>10.413490187785055</v>
      </c>
      <c r="G51" s="194">
        <f>E51/$F$3</f>
        <v>1671.154024695943</v>
      </c>
    </row>
    <row r="52" spans="1:8">
      <c r="A52" s="188" t="s">
        <v>261</v>
      </c>
      <c r="B52" s="191" t="s">
        <v>36</v>
      </c>
      <c r="C52" s="192">
        <v>125</v>
      </c>
      <c r="D52" s="194">
        <f>+'PREC marzo 2014'!C50</f>
        <v>1400</v>
      </c>
      <c r="E52" s="193">
        <f>C52*D52</f>
        <v>175000</v>
      </c>
      <c r="F52" s="194">
        <f>E52/$E$55*100</f>
        <v>2.0248453142915386</v>
      </c>
      <c r="G52" s="194">
        <f>E52/$F$3</f>
        <v>324.9466159131</v>
      </c>
    </row>
    <row r="53" spans="1:8">
      <c r="A53" s="188" t="s">
        <v>178</v>
      </c>
      <c r="B53" s="216"/>
      <c r="C53" s="185"/>
      <c r="D53" s="217"/>
      <c r="E53" s="193">
        <v>50000</v>
      </c>
      <c r="F53" s="194">
        <f>E53/$E$55*100</f>
        <v>0.57852723265472517</v>
      </c>
      <c r="G53" s="194">
        <f>E53/$F$3</f>
        <v>92.841890260885719</v>
      </c>
    </row>
    <row r="54" spans="1:8">
      <c r="A54" s="195" t="s">
        <v>262</v>
      </c>
      <c r="B54" s="219" t="s">
        <v>9</v>
      </c>
      <c r="C54" s="220" t="s">
        <v>9</v>
      </c>
      <c r="D54" s="200" t="s">
        <v>9</v>
      </c>
      <c r="E54" s="199">
        <f>SUM(E51:E53)</f>
        <v>1125000</v>
      </c>
      <c r="F54" s="200">
        <f>E54/$E$55*100</f>
        <v>13.016862734731319</v>
      </c>
      <c r="G54" s="200">
        <f>+G53+G51</f>
        <v>1763.9959149568288</v>
      </c>
    </row>
    <row r="55" spans="1:8" ht="13.5" thickBot="1">
      <c r="A55" s="538" t="s">
        <v>217</v>
      </c>
      <c r="B55" s="539"/>
      <c r="C55" s="540"/>
      <c r="D55" s="541"/>
      <c r="E55" s="542">
        <f>+E29+E49+E11+E54</f>
        <v>8642635.5023188405</v>
      </c>
      <c r="F55" s="543">
        <f>+F29+F49+F11+F54</f>
        <v>100.00000000000001</v>
      </c>
      <c r="G55" s="543">
        <f>+G29+G49+G11+G54</f>
        <v>13030.610903943629</v>
      </c>
    </row>
    <row r="56" spans="1:8">
      <c r="A56" s="221"/>
      <c r="B56" s="221"/>
      <c r="C56" s="221"/>
      <c r="F56" s="222"/>
      <c r="G56" s="223" t="s">
        <v>9</v>
      </c>
      <c r="H56" s="436" t="s">
        <v>9</v>
      </c>
    </row>
    <row r="57" spans="1:8">
      <c r="A57" s="710" t="s">
        <v>263</v>
      </c>
      <c r="B57" s="949">
        <v>7000</v>
      </c>
      <c r="C57" s="710" t="s">
        <v>264</v>
      </c>
    </row>
    <row r="58" spans="1:8">
      <c r="A58" s="710" t="s">
        <v>651</v>
      </c>
      <c r="B58" s="949">
        <f>E55/B57</f>
        <v>1234.6622146169773</v>
      </c>
      <c r="C58" s="710" t="s">
        <v>265</v>
      </c>
    </row>
    <row r="59" spans="1:8">
      <c r="A59" s="710" t="s">
        <v>86</v>
      </c>
      <c r="B59" s="949">
        <f>B58/9</f>
        <v>137.18469051299746</v>
      </c>
      <c r="C59" s="710" t="s">
        <v>74</v>
      </c>
    </row>
    <row r="60" spans="1:8">
      <c r="A60" s="1019" t="str">
        <f>remolacha!A47</f>
        <v>Precio finca mayo 2015</v>
      </c>
      <c r="B60" s="949">
        <v>388</v>
      </c>
      <c r="C60" s="710" t="s">
        <v>74</v>
      </c>
      <c r="D60" s="978"/>
      <c r="E60" s="979"/>
      <c r="F60" s="980"/>
      <c r="G60" s="979"/>
    </row>
    <row r="61" spans="1:8">
      <c r="A61" s="981" t="s">
        <v>1104</v>
      </c>
      <c r="B61" s="949">
        <v>222</v>
      </c>
      <c r="C61" s="710" t="s">
        <v>74</v>
      </c>
      <c r="D61" s="978"/>
      <c r="E61" s="979"/>
      <c r="F61" s="980"/>
      <c r="G61" s="979"/>
    </row>
    <row r="62" spans="1:8">
      <c r="A62" s="703" t="s">
        <v>477</v>
      </c>
      <c r="B62" s="704" t="s">
        <v>266</v>
      </c>
      <c r="C62" s="143"/>
      <c r="D62" s="143"/>
      <c r="E62" s="143"/>
      <c r="F62" s="705"/>
      <c r="G62" s="174"/>
    </row>
    <row r="63" spans="1:8">
      <c r="A63" s="703" t="s">
        <v>853</v>
      </c>
      <c r="B63" s="143"/>
      <c r="C63" s="143"/>
      <c r="D63" s="143"/>
      <c r="E63" s="143"/>
      <c r="F63" s="705"/>
      <c r="G63" s="174"/>
    </row>
    <row r="64" spans="1:8">
      <c r="A64" s="706" t="s">
        <v>267</v>
      </c>
      <c r="B64" s="709">
        <v>12000</v>
      </c>
      <c r="C64" s="707" t="s">
        <v>268</v>
      </c>
      <c r="D64" s="707" t="s">
        <v>873</v>
      </c>
      <c r="E64" s="707"/>
      <c r="F64" s="708"/>
      <c r="G64" s="174"/>
    </row>
    <row r="65" spans="1:7">
      <c r="A65" s="224"/>
      <c r="B65" s="174"/>
      <c r="C65" s="174"/>
      <c r="D65" s="174"/>
      <c r="E65" s="174"/>
      <c r="F65" s="174"/>
      <c r="G65" s="174"/>
    </row>
    <row r="66" spans="1:7">
      <c r="A66" s="229" t="s">
        <v>653</v>
      </c>
      <c r="B66" s="174"/>
      <c r="C66" s="174"/>
      <c r="D66" s="174"/>
      <c r="E66" s="174"/>
      <c r="F66" s="174"/>
      <c r="G66" s="174"/>
    </row>
    <row r="68" spans="1:7">
      <c r="A68" s="828" t="s">
        <v>796</v>
      </c>
    </row>
  </sheetData>
  <phoneticPr fontId="34" type="noConversion"/>
  <pageMargins left="0.78740157480314965" right="0.39" top="0.7" bottom="0.67" header="0.51181102362204722" footer="0.51181102362204722"/>
  <pageSetup scale="85" orientation="portrait" horizontalDpi="120" verticalDpi="144"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H79"/>
  <sheetViews>
    <sheetView topLeftCell="A39" workbookViewId="0">
      <selection activeCell="C65" sqref="C65"/>
    </sheetView>
  </sheetViews>
  <sheetFormatPr baseColWidth="10" defaultRowHeight="12.75"/>
  <cols>
    <col min="1" max="1" width="25.7109375" customWidth="1"/>
    <col min="2" max="2" width="10.5703125" customWidth="1"/>
    <col min="3" max="3" width="9.42578125" customWidth="1"/>
    <col min="4" max="4" width="10" customWidth="1"/>
    <col min="5" max="5" width="10.42578125" customWidth="1"/>
    <col min="6" max="6" width="9.5703125" customWidth="1"/>
    <col min="7" max="7" width="10.28515625" customWidth="1"/>
  </cols>
  <sheetData>
    <row r="1" spans="1:7">
      <c r="A1" s="176" t="s">
        <v>330</v>
      </c>
      <c r="B1" s="176"/>
      <c r="C1" s="176"/>
      <c r="D1" s="176"/>
      <c r="E1" s="176"/>
      <c r="F1" s="176" t="s">
        <v>9</v>
      </c>
      <c r="G1" s="176"/>
    </row>
    <row r="2" spans="1:7">
      <c r="A2" s="176" t="s">
        <v>331</v>
      </c>
      <c r="B2" s="176"/>
      <c r="C2" s="176"/>
      <c r="D2" s="176"/>
      <c r="E2" s="739" t="s">
        <v>221</v>
      </c>
      <c r="F2" s="740">
        <f>+'PREC marzo 2014'!E11</f>
        <v>985.47749999999996</v>
      </c>
      <c r="G2" s="741" t="s">
        <v>8</v>
      </c>
    </row>
    <row r="3" spans="1:7" ht="13.5" thickBot="1">
      <c r="A3" s="176" t="s">
        <v>463</v>
      </c>
      <c r="B3" s="716">
        <f>'PREC marzo 2014'!B3</f>
        <v>42143</v>
      </c>
      <c r="C3" s="176"/>
      <c r="D3" s="176"/>
      <c r="E3" s="742" t="s">
        <v>222</v>
      </c>
      <c r="F3" s="743">
        <f>+'PREC marzo 2014'!B4</f>
        <v>538.54999999999995</v>
      </c>
      <c r="G3" s="744" t="s">
        <v>8</v>
      </c>
    </row>
    <row r="4" spans="1:7">
      <c r="A4" s="550"/>
      <c r="B4" s="550"/>
      <c r="C4" s="551" t="s">
        <v>9</v>
      </c>
      <c r="D4" s="551" t="s">
        <v>223</v>
      </c>
      <c r="E4" s="553" t="s">
        <v>223</v>
      </c>
      <c r="F4" s="552" t="s">
        <v>224</v>
      </c>
      <c r="G4" s="552" t="s">
        <v>223</v>
      </c>
    </row>
    <row r="5" spans="1:7">
      <c r="A5" s="552" t="s">
        <v>95</v>
      </c>
      <c r="B5" s="552" t="s">
        <v>225</v>
      </c>
      <c r="C5" s="552" t="s">
        <v>226</v>
      </c>
      <c r="D5" s="552" t="s">
        <v>227</v>
      </c>
      <c r="E5" s="552" t="s">
        <v>228</v>
      </c>
      <c r="F5" s="553" t="s">
        <v>9</v>
      </c>
      <c r="G5" s="552" t="s">
        <v>229</v>
      </c>
    </row>
    <row r="6" spans="1:7" ht="13.5" thickBot="1">
      <c r="A6" s="554"/>
      <c r="B6" s="554"/>
      <c r="C6" s="554"/>
      <c r="D6" s="555" t="s">
        <v>9</v>
      </c>
      <c r="E6" s="555" t="s">
        <v>9</v>
      </c>
      <c r="F6" s="555" t="s">
        <v>82</v>
      </c>
      <c r="G6" s="555" t="s">
        <v>231</v>
      </c>
    </row>
    <row r="7" spans="1:7">
      <c r="A7" s="301" t="s">
        <v>134</v>
      </c>
      <c r="B7" s="66"/>
      <c r="C7" s="66"/>
      <c r="D7" s="66"/>
      <c r="E7" s="66"/>
      <c r="F7" s="66"/>
      <c r="G7" s="66"/>
    </row>
    <row r="8" spans="1:7">
      <c r="A8" s="302" t="s">
        <v>202</v>
      </c>
      <c r="B8" s="303"/>
      <c r="C8" s="66"/>
      <c r="D8" s="66"/>
      <c r="E8" s="304" t="s">
        <v>9</v>
      </c>
      <c r="F8" s="66"/>
      <c r="G8" s="66"/>
    </row>
    <row r="9" spans="1:7">
      <c r="A9" s="302" t="s">
        <v>232</v>
      </c>
      <c r="B9" s="305" t="s">
        <v>233</v>
      </c>
      <c r="C9" s="306">
        <v>4</v>
      </c>
      <c r="D9" s="770">
        <f>+'PREC marzo 2014'!C7</f>
        <v>18000</v>
      </c>
      <c r="E9" s="770">
        <f>C9*D9</f>
        <v>72000</v>
      </c>
      <c r="F9" s="306">
        <f>E9/$E$53*100</f>
        <v>1.2814808784446829</v>
      </c>
      <c r="G9" s="306">
        <f>E9/$F$3</f>
        <v>133.69232197567544</v>
      </c>
    </row>
    <row r="10" spans="1:7">
      <c r="A10" s="302" t="s">
        <v>175</v>
      </c>
      <c r="B10" s="305" t="s">
        <v>233</v>
      </c>
      <c r="C10" s="306">
        <v>8</v>
      </c>
      <c r="D10" s="770">
        <f>+D9</f>
        <v>18000</v>
      </c>
      <c r="E10" s="770">
        <f>C10*D10</f>
        <v>144000</v>
      </c>
      <c r="F10" s="306">
        <f>E10/$E$53*100</f>
        <v>2.5629617568893659</v>
      </c>
      <c r="G10" s="306">
        <f>E10/$F$3</f>
        <v>267.38464395135088</v>
      </c>
    </row>
    <row r="11" spans="1:7">
      <c r="A11" s="307" t="s">
        <v>140</v>
      </c>
      <c r="B11" s="308"/>
      <c r="C11" s="309"/>
      <c r="D11" s="771"/>
      <c r="E11" s="772">
        <f>SUM(E9:E10)</f>
        <v>216000</v>
      </c>
      <c r="F11" s="312">
        <f>E11/$E$53*100</f>
        <v>3.8444426353340484</v>
      </c>
      <c r="G11" s="311">
        <f>SUM(G9:G10)</f>
        <v>401.07696592702632</v>
      </c>
    </row>
    <row r="12" spans="1:7">
      <c r="A12" s="315" t="s">
        <v>234</v>
      </c>
      <c r="B12" s="305" t="s">
        <v>9</v>
      </c>
      <c r="C12" s="316" t="s">
        <v>9</v>
      </c>
      <c r="D12" s="770" t="s">
        <v>9</v>
      </c>
      <c r="E12" s="770" t="s">
        <v>9</v>
      </c>
      <c r="F12" s="306" t="s">
        <v>9</v>
      </c>
      <c r="G12" s="306"/>
    </row>
    <row r="13" spans="1:7">
      <c r="A13" s="315" t="s">
        <v>451</v>
      </c>
      <c r="B13" s="314"/>
      <c r="C13" s="306"/>
      <c r="D13" s="770"/>
      <c r="E13" s="770"/>
      <c r="F13" s="306" t="s">
        <v>9</v>
      </c>
      <c r="G13" s="306"/>
    </row>
    <row r="14" spans="1:7">
      <c r="A14" s="302" t="s">
        <v>235</v>
      </c>
      <c r="B14" s="305" t="s">
        <v>143</v>
      </c>
      <c r="C14" s="306">
        <v>8</v>
      </c>
      <c r="D14" s="770">
        <f t="shared" ref="D14:D20" si="0">+$F$2*8</f>
        <v>7883.82</v>
      </c>
      <c r="E14" s="770">
        <f t="shared" ref="E14:E20" si="1">C14*D14</f>
        <v>63070.559999999998</v>
      </c>
      <c r="F14" s="306">
        <f t="shared" ref="F14:F20" si="2">E14/$E$53*100</f>
        <v>1.1225516198999732</v>
      </c>
      <c r="G14" s="306">
        <f t="shared" ref="G14:G20" si="3">E14/$F$3</f>
        <v>117.11180020425216</v>
      </c>
    </row>
    <row r="15" spans="1:7">
      <c r="A15" s="302" t="s">
        <v>332</v>
      </c>
      <c r="B15" s="305" t="s">
        <v>143</v>
      </c>
      <c r="C15" s="306">
        <v>1.5</v>
      </c>
      <c r="D15" s="770">
        <f t="shared" si="0"/>
        <v>7883.82</v>
      </c>
      <c r="E15" s="770">
        <f t="shared" si="1"/>
        <v>11825.73</v>
      </c>
      <c r="F15" s="306">
        <f t="shared" si="2"/>
        <v>0.210478428731245</v>
      </c>
      <c r="G15" s="306">
        <f t="shared" si="3"/>
        <v>21.95846253829728</v>
      </c>
    </row>
    <row r="16" spans="1:7">
      <c r="A16" s="302" t="s">
        <v>239</v>
      </c>
      <c r="B16" s="305" t="s">
        <v>143</v>
      </c>
      <c r="C16" s="306">
        <v>6</v>
      </c>
      <c r="D16" s="770">
        <f t="shared" si="0"/>
        <v>7883.82</v>
      </c>
      <c r="E16" s="770">
        <f t="shared" si="1"/>
        <v>47302.92</v>
      </c>
      <c r="F16" s="306">
        <f t="shared" si="2"/>
        <v>0.84191371492498002</v>
      </c>
      <c r="G16" s="306">
        <f t="shared" si="3"/>
        <v>87.833850153189118</v>
      </c>
    </row>
    <row r="17" spans="1:7">
      <c r="A17" s="302" t="s">
        <v>333</v>
      </c>
      <c r="B17" s="305" t="s">
        <v>143</v>
      </c>
      <c r="C17" s="306">
        <v>9</v>
      </c>
      <c r="D17" s="770">
        <f t="shared" si="0"/>
        <v>7883.82</v>
      </c>
      <c r="E17" s="770">
        <f t="shared" si="1"/>
        <v>70954.38</v>
      </c>
      <c r="F17" s="306">
        <f t="shared" si="2"/>
        <v>1.26287057238747</v>
      </c>
      <c r="G17" s="306">
        <f t="shared" si="3"/>
        <v>131.7507752297837</v>
      </c>
    </row>
    <row r="18" spans="1:7">
      <c r="A18" s="302" t="s">
        <v>209</v>
      </c>
      <c r="B18" s="305" t="s">
        <v>143</v>
      </c>
      <c r="C18" s="306">
        <v>24</v>
      </c>
      <c r="D18" s="770">
        <f t="shared" si="0"/>
        <v>7883.82</v>
      </c>
      <c r="E18" s="770">
        <f t="shared" si="1"/>
        <v>189211.68</v>
      </c>
      <c r="F18" s="306">
        <f t="shared" si="2"/>
        <v>3.3676548596999201</v>
      </c>
      <c r="G18" s="306">
        <f t="shared" si="3"/>
        <v>351.33540061275647</v>
      </c>
    </row>
    <row r="19" spans="1:7">
      <c r="A19" s="302" t="s">
        <v>334</v>
      </c>
      <c r="B19" s="305" t="s">
        <v>143</v>
      </c>
      <c r="C19" s="306">
        <v>4.5</v>
      </c>
      <c r="D19" s="770">
        <f t="shared" si="0"/>
        <v>7883.82</v>
      </c>
      <c r="E19" s="770">
        <f t="shared" si="1"/>
        <v>35477.19</v>
      </c>
      <c r="F19" s="306">
        <f t="shared" si="2"/>
        <v>0.63143528619373501</v>
      </c>
      <c r="G19" s="306">
        <f t="shared" si="3"/>
        <v>65.875387614891849</v>
      </c>
    </row>
    <row r="20" spans="1:7">
      <c r="A20" s="302" t="s">
        <v>237</v>
      </c>
      <c r="B20" s="305" t="s">
        <v>143</v>
      </c>
      <c r="C20" s="306">
        <v>39</v>
      </c>
      <c r="D20" s="770">
        <f t="shared" si="0"/>
        <v>7883.82</v>
      </c>
      <c r="E20" s="770">
        <f t="shared" si="1"/>
        <v>307468.98</v>
      </c>
      <c r="F20" s="306">
        <f t="shared" si="2"/>
        <v>5.472439147012369</v>
      </c>
      <c r="G20" s="306">
        <f t="shared" si="3"/>
        <v>570.92002599572925</v>
      </c>
    </row>
    <row r="21" spans="1:7">
      <c r="A21" s="302" t="s">
        <v>335</v>
      </c>
      <c r="B21" s="305" t="s">
        <v>143</v>
      </c>
      <c r="C21" s="306">
        <v>34</v>
      </c>
      <c r="D21" s="770">
        <f>+$F$2*8</f>
        <v>7883.82</v>
      </c>
      <c r="E21" s="770">
        <f>C21*D21</f>
        <v>268049.88</v>
      </c>
      <c r="F21" s="306">
        <f t="shared" ref="F21:F27" si="4">E21/$E$53*100</f>
        <v>4.770844384574886</v>
      </c>
      <c r="G21" s="306">
        <f>E21/$F$3</f>
        <v>497.72515086807175</v>
      </c>
    </row>
    <row r="22" spans="1:7">
      <c r="A22" s="302" t="s">
        <v>242</v>
      </c>
      <c r="B22" s="305" t="s">
        <v>143</v>
      </c>
      <c r="C22" s="306">
        <v>60</v>
      </c>
      <c r="D22" s="770">
        <f>+$F$2*8</f>
        <v>7883.82</v>
      </c>
      <c r="E22" s="770">
        <f>C22*D22</f>
        <v>473029.19999999995</v>
      </c>
      <c r="F22" s="306">
        <f t="shared" si="4"/>
        <v>8.4191371492497993</v>
      </c>
      <c r="G22" s="306">
        <f>E22/$F$3</f>
        <v>878.33850153189121</v>
      </c>
    </row>
    <row r="23" spans="1:7">
      <c r="A23" s="302" t="s">
        <v>336</v>
      </c>
      <c r="B23" s="305" t="s">
        <v>143</v>
      </c>
      <c r="C23" s="306">
        <f>12/8</f>
        <v>1.5</v>
      </c>
      <c r="D23" s="770">
        <f>+$F$2*8</f>
        <v>7883.82</v>
      </c>
      <c r="E23" s="770">
        <f>C23*D23</f>
        <v>11825.73</v>
      </c>
      <c r="F23" s="306">
        <f t="shared" si="4"/>
        <v>0.210478428731245</v>
      </c>
      <c r="G23" s="306">
        <f>E23/$F$3</f>
        <v>21.95846253829728</v>
      </c>
    </row>
    <row r="24" spans="1:7">
      <c r="A24" s="302" t="s">
        <v>211</v>
      </c>
      <c r="B24" s="305" t="s">
        <v>143</v>
      </c>
      <c r="C24" s="306">
        <v>52</v>
      </c>
      <c r="D24" s="770">
        <f>+$F$2*8</f>
        <v>7883.82</v>
      </c>
      <c r="E24" s="770">
        <f>C24*D24</f>
        <v>409958.64</v>
      </c>
      <c r="F24" s="306">
        <f t="shared" si="4"/>
        <v>7.2965855293498265</v>
      </c>
      <c r="G24" s="306">
        <f>E24/$F$3</f>
        <v>761.22670132763915</v>
      </c>
    </row>
    <row r="25" spans="1:7">
      <c r="A25" s="302" t="s">
        <v>337</v>
      </c>
      <c r="B25" s="305" t="s">
        <v>143</v>
      </c>
      <c r="C25" s="306">
        <v>10</v>
      </c>
      <c r="D25" s="770">
        <f>+$F$2*8</f>
        <v>7883.82</v>
      </c>
      <c r="E25" s="770">
        <f>C25*D25</f>
        <v>78838.2</v>
      </c>
      <c r="F25" s="306">
        <f t="shared" si="4"/>
        <v>1.4031895248749666</v>
      </c>
      <c r="G25" s="306">
        <f>E25/$F$3</f>
        <v>146.38975025531519</v>
      </c>
    </row>
    <row r="26" spans="1:7">
      <c r="A26" s="317" t="s">
        <v>314</v>
      </c>
      <c r="B26" s="308"/>
      <c r="C26" s="309"/>
      <c r="D26" s="771"/>
      <c r="E26" s="771">
        <f>SUM(E14:E25)</f>
        <v>1967013.09</v>
      </c>
      <c r="F26" s="309">
        <f t="shared" si="4"/>
        <v>35.00957864563042</v>
      </c>
      <c r="G26" s="310">
        <f>SUM(G14:G25)</f>
        <v>3652.4242688701142</v>
      </c>
    </row>
    <row r="27" spans="1:7">
      <c r="A27" s="238" t="s">
        <v>718</v>
      </c>
      <c r="B27" s="203" t="s">
        <v>719</v>
      </c>
      <c r="C27" s="240"/>
      <c r="D27" s="273"/>
      <c r="E27" s="274">
        <f>'PREC marzo 2014'!E10*2</f>
        <v>336000</v>
      </c>
      <c r="F27" s="306">
        <f t="shared" si="4"/>
        <v>5.9802440994085204</v>
      </c>
      <c r="G27" s="306">
        <f>E27/$F$3</f>
        <v>623.89750255315198</v>
      </c>
    </row>
    <row r="28" spans="1:7">
      <c r="A28" s="307" t="s">
        <v>247</v>
      </c>
      <c r="B28" s="318"/>
      <c r="C28" s="21"/>
      <c r="D28" s="35"/>
      <c r="E28" s="772">
        <f>E27+E26</f>
        <v>2303013.09</v>
      </c>
      <c r="F28" s="312">
        <f>E28/$E$53*100</f>
        <v>40.989822745038936</v>
      </c>
      <c r="G28" s="311">
        <f>G27+G26</f>
        <v>4276.321771423266</v>
      </c>
    </row>
    <row r="29" spans="1:7">
      <c r="A29" s="315" t="s">
        <v>452</v>
      </c>
      <c r="B29" s="314"/>
      <c r="C29" s="67"/>
      <c r="D29" s="773"/>
      <c r="E29" s="773"/>
      <c r="F29" s="67"/>
      <c r="G29" s="306"/>
    </row>
    <row r="30" spans="1:7">
      <c r="A30" s="302" t="s">
        <v>871</v>
      </c>
      <c r="B30" s="305" t="s">
        <v>269</v>
      </c>
      <c r="C30" s="306">
        <v>16000</v>
      </c>
      <c r="D30" s="770">
        <f>'PREC marzo 2014'!E38</f>
        <v>80</v>
      </c>
      <c r="E30" s="770">
        <f>C30*D30</f>
        <v>1280000</v>
      </c>
      <c r="F30" s="306">
        <f t="shared" ref="F30:F48" si="5">E30/$E$53*100</f>
        <v>22.78188228346103</v>
      </c>
      <c r="G30" s="306">
        <f>E30/$F$3</f>
        <v>2376.7523906786746</v>
      </c>
    </row>
    <row r="31" spans="1:7">
      <c r="A31" s="302" t="s">
        <v>345</v>
      </c>
      <c r="B31" s="305" t="s">
        <v>36</v>
      </c>
      <c r="C31" s="306">
        <v>1000</v>
      </c>
      <c r="D31" s="770">
        <f>+'PREC marzo 2014'!E65</f>
        <v>388.99333333333334</v>
      </c>
      <c r="E31" s="770">
        <f t="shared" ref="E31:E47" si="6">C31*D31</f>
        <v>388993.33333333331</v>
      </c>
      <c r="F31" s="306">
        <f t="shared" si="5"/>
        <v>6.9234377570711851</v>
      </c>
      <c r="G31" s="306">
        <f t="shared" ref="G31:G47" si="7">E31/$F$3</f>
        <v>722.29752731098938</v>
      </c>
    </row>
    <row r="32" spans="1:7">
      <c r="A32" s="302" t="s">
        <v>251</v>
      </c>
      <c r="B32" s="305" t="s">
        <v>36</v>
      </c>
      <c r="C32" s="306">
        <v>350</v>
      </c>
      <c r="D32" s="770">
        <f>+'PREC marzo 2014'!E75</f>
        <v>673</v>
      </c>
      <c r="E32" s="770">
        <f t="shared" si="6"/>
        <v>235550</v>
      </c>
      <c r="F32" s="306">
        <f t="shared" si="5"/>
        <v>4.1924002905228477</v>
      </c>
      <c r="G32" s="306">
        <f t="shared" si="7"/>
        <v>437.37814501903262</v>
      </c>
    </row>
    <row r="33" spans="1:7">
      <c r="A33" s="302" t="s">
        <v>338</v>
      </c>
      <c r="B33" s="305" t="s">
        <v>36</v>
      </c>
      <c r="C33" s="306">
        <v>200</v>
      </c>
      <c r="D33" s="770">
        <f>+'PREC marzo 2014'!E84</f>
        <v>209.78260869565219</v>
      </c>
      <c r="E33" s="770">
        <f t="shared" si="6"/>
        <v>41956.52173913044</v>
      </c>
      <c r="F33" s="306">
        <f t="shared" si="5"/>
        <v>0.74675667131589318</v>
      </c>
      <c r="G33" s="306">
        <f t="shared" si="7"/>
        <v>77.906455740656284</v>
      </c>
    </row>
    <row r="34" spans="1:7">
      <c r="A34" s="302" t="s">
        <v>339</v>
      </c>
      <c r="B34" s="305" t="s">
        <v>36</v>
      </c>
      <c r="C34" s="306">
        <v>25</v>
      </c>
      <c r="D34" s="770">
        <f>+'PREC marzo 2014'!E206</f>
        <v>2300</v>
      </c>
      <c r="E34" s="770">
        <f t="shared" si="6"/>
        <v>57500</v>
      </c>
      <c r="F34" s="306">
        <f t="shared" si="5"/>
        <v>1.0234048682023509</v>
      </c>
      <c r="G34" s="306">
        <f t="shared" si="7"/>
        <v>106.76817380001857</v>
      </c>
    </row>
    <row r="35" spans="1:7">
      <c r="A35" s="302" t="s">
        <v>127</v>
      </c>
      <c r="B35" s="305" t="s">
        <v>36</v>
      </c>
      <c r="C35" s="306">
        <v>2</v>
      </c>
      <c r="D35" s="770">
        <f>+'PREC marzo 2014'!E200</f>
        <v>20384</v>
      </c>
      <c r="E35" s="770">
        <f t="shared" si="6"/>
        <v>40768</v>
      </c>
      <c r="F35" s="306">
        <f t="shared" si="5"/>
        <v>0.72560295072823378</v>
      </c>
      <c r="G35" s="306">
        <f t="shared" si="7"/>
        <v>75.699563643115781</v>
      </c>
    </row>
    <row r="36" spans="1:7">
      <c r="A36" s="302" t="s">
        <v>346</v>
      </c>
      <c r="B36" s="305" t="s">
        <v>38</v>
      </c>
      <c r="C36" s="306">
        <v>1</v>
      </c>
      <c r="D36" s="770">
        <f>+'PREC marzo 2014'!E219</f>
        <v>18520</v>
      </c>
      <c r="E36" s="770">
        <f t="shared" si="6"/>
        <v>18520</v>
      </c>
      <c r="F36" s="306">
        <f t="shared" si="5"/>
        <v>0.32962535928882675</v>
      </c>
      <c r="G36" s="306">
        <f t="shared" si="7"/>
        <v>34.388636152632067</v>
      </c>
    </row>
    <row r="37" spans="1:7">
      <c r="A37" s="302" t="s">
        <v>122</v>
      </c>
      <c r="B37" s="305" t="s">
        <v>38</v>
      </c>
      <c r="C37" s="306">
        <v>1</v>
      </c>
      <c r="D37" s="770">
        <f>+'PREC marzo 2014'!E186</f>
        <v>32000</v>
      </c>
      <c r="E37" s="770">
        <f t="shared" si="6"/>
        <v>32000</v>
      </c>
      <c r="F37" s="306">
        <f t="shared" si="5"/>
        <v>0.56954705708652575</v>
      </c>
      <c r="G37" s="306">
        <f t="shared" si="7"/>
        <v>59.418809766966859</v>
      </c>
    </row>
    <row r="38" spans="1:7">
      <c r="A38" s="302" t="s">
        <v>256</v>
      </c>
      <c r="B38" s="305" t="s">
        <v>38</v>
      </c>
      <c r="C38" s="306">
        <v>0.5</v>
      </c>
      <c r="D38" s="770">
        <f>+'PREC marzo 2014'!E211</f>
        <v>97000</v>
      </c>
      <c r="E38" s="770">
        <f t="shared" si="6"/>
        <v>48500</v>
      </c>
      <c r="F38" s="306">
        <f t="shared" si="5"/>
        <v>0.86321975839676546</v>
      </c>
      <c r="G38" s="306">
        <f t="shared" si="7"/>
        <v>90.056633553059143</v>
      </c>
    </row>
    <row r="39" spans="1:7">
      <c r="A39" s="302" t="s">
        <v>340</v>
      </c>
      <c r="B39" s="305" t="s">
        <v>36</v>
      </c>
      <c r="C39" s="306">
        <v>15</v>
      </c>
      <c r="D39" s="770">
        <f>+'PREC marzo 2014'!E159</f>
        <v>4877.173913043478</v>
      </c>
      <c r="E39" s="770">
        <f t="shared" si="6"/>
        <v>73157.608695652176</v>
      </c>
      <c r="F39" s="306">
        <f t="shared" si="5"/>
        <v>1.3020843980030099</v>
      </c>
      <c r="G39" s="306">
        <f t="shared" si="7"/>
        <v>135.84181356541117</v>
      </c>
    </row>
    <row r="40" spans="1:7">
      <c r="A40" s="302" t="s">
        <v>117</v>
      </c>
      <c r="B40" s="305" t="s">
        <v>36</v>
      </c>
      <c r="C40" s="306">
        <v>15</v>
      </c>
      <c r="D40" s="770">
        <f>'PREC marzo 2014'!E155</f>
        <v>17252</v>
      </c>
      <c r="E40" s="770">
        <f t="shared" si="6"/>
        <v>258780</v>
      </c>
      <c r="F40" s="306">
        <f t="shared" si="5"/>
        <v>4.6058558572765982</v>
      </c>
      <c r="G40" s="306">
        <f t="shared" si="7"/>
        <v>480.51248723424015</v>
      </c>
    </row>
    <row r="41" spans="1:7">
      <c r="A41" s="302" t="s">
        <v>254</v>
      </c>
      <c r="B41" s="305" t="s">
        <v>36</v>
      </c>
      <c r="C41" s="306">
        <v>3</v>
      </c>
      <c r="D41" s="770">
        <f>+'PREC marzo 2014'!E173</f>
        <v>5000</v>
      </c>
      <c r="E41" s="770">
        <f t="shared" si="6"/>
        <v>15000</v>
      </c>
      <c r="F41" s="306">
        <f t="shared" si="5"/>
        <v>0.26697518300930895</v>
      </c>
      <c r="G41" s="306">
        <f t="shared" si="7"/>
        <v>27.852567078265714</v>
      </c>
    </row>
    <row r="42" spans="1:7">
      <c r="A42" s="302" t="s">
        <v>341</v>
      </c>
      <c r="B42" s="305" t="s">
        <v>38</v>
      </c>
      <c r="C42" s="306">
        <v>2</v>
      </c>
      <c r="D42" s="770">
        <f>+'PREC marzo 2014'!E110</f>
        <v>5000</v>
      </c>
      <c r="E42" s="770">
        <f t="shared" si="6"/>
        <v>10000</v>
      </c>
      <c r="F42" s="306">
        <f t="shared" si="5"/>
        <v>0.1779834553395393</v>
      </c>
      <c r="G42" s="306">
        <f t="shared" si="7"/>
        <v>18.568378052177145</v>
      </c>
    </row>
    <row r="43" spans="1:7">
      <c r="A43" s="305" t="s">
        <v>342</v>
      </c>
      <c r="B43" s="305" t="s">
        <v>38</v>
      </c>
      <c r="C43" s="306">
        <v>2</v>
      </c>
      <c r="D43" s="770">
        <f>+'PREC marzo 2014'!E111</f>
        <v>15400</v>
      </c>
      <c r="E43" s="770">
        <f t="shared" si="6"/>
        <v>30800</v>
      </c>
      <c r="F43" s="306">
        <f t="shared" si="5"/>
        <v>0.54818904244578093</v>
      </c>
      <c r="G43" s="306">
        <f t="shared" si="7"/>
        <v>57.190604400705602</v>
      </c>
    </row>
    <row r="44" spans="1:7">
      <c r="A44" s="305" t="s">
        <v>112</v>
      </c>
      <c r="B44" s="305" t="s">
        <v>38</v>
      </c>
      <c r="C44" s="306">
        <v>5</v>
      </c>
      <c r="D44" s="770">
        <f>'PREC marzo 2014'!E121</f>
        <v>10486</v>
      </c>
      <c r="E44" s="770">
        <f t="shared" si="6"/>
        <v>52430</v>
      </c>
      <c r="F44" s="306">
        <f t="shared" si="5"/>
        <v>0.93316725634520448</v>
      </c>
      <c r="G44" s="306">
        <f t="shared" si="7"/>
        <v>97.354006127564759</v>
      </c>
    </row>
    <row r="45" spans="1:7">
      <c r="A45" s="302" t="s">
        <v>348</v>
      </c>
      <c r="B45" s="191" t="s">
        <v>36</v>
      </c>
      <c r="C45" s="192">
        <v>1.5</v>
      </c>
      <c r="D45" s="770">
        <f>+'PREC marzo 2014'!E226</f>
        <v>41764</v>
      </c>
      <c r="E45" s="770">
        <f t="shared" si="6"/>
        <v>62646</v>
      </c>
      <c r="F45" s="306">
        <f t="shared" si="5"/>
        <v>1.1149951543200778</v>
      </c>
      <c r="G45" s="306">
        <f t="shared" si="7"/>
        <v>116.32346114566893</v>
      </c>
    </row>
    <row r="46" spans="1:7">
      <c r="A46" s="302" t="s">
        <v>259</v>
      </c>
      <c r="B46" s="191" t="s">
        <v>38</v>
      </c>
      <c r="C46" s="192">
        <v>1</v>
      </c>
      <c r="D46" s="770">
        <f>+'PREC marzo 2014'!E219</f>
        <v>18520</v>
      </c>
      <c r="E46" s="770">
        <f>C46*D46</f>
        <v>18520</v>
      </c>
      <c r="F46" s="306">
        <f t="shared" si="5"/>
        <v>0.32962535928882675</v>
      </c>
      <c r="G46" s="306">
        <f>E46/$F$3</f>
        <v>34.388636152632067</v>
      </c>
    </row>
    <row r="47" spans="1:7">
      <c r="A47" s="302" t="s">
        <v>1169</v>
      </c>
      <c r="B47" s="305" t="s">
        <v>38</v>
      </c>
      <c r="C47" s="306">
        <v>4.7</v>
      </c>
      <c r="D47" s="770">
        <f>'PREC marzo 2014'!E236</f>
        <v>5716</v>
      </c>
      <c r="E47" s="770">
        <f t="shared" si="6"/>
        <v>26865.200000000001</v>
      </c>
      <c r="F47" s="306">
        <f t="shared" si="5"/>
        <v>0.47815611243877909</v>
      </c>
      <c r="G47" s="306">
        <f t="shared" si="7"/>
        <v>49.884319004734941</v>
      </c>
    </row>
    <row r="48" spans="1:7">
      <c r="A48" s="307" t="s">
        <v>156</v>
      </c>
      <c r="B48" s="320" t="s">
        <v>9</v>
      </c>
      <c r="C48" s="321" t="s">
        <v>9</v>
      </c>
      <c r="D48" s="772" t="s">
        <v>9</v>
      </c>
      <c r="E48" s="772">
        <f>SUM(E30:E47)</f>
        <v>2691986.6637681164</v>
      </c>
      <c r="F48" s="312">
        <f t="shared" si="5"/>
        <v>47.912908814540792</v>
      </c>
      <c r="G48" s="311">
        <f>SUM(G31:G47)</f>
        <v>2621.8302177478713</v>
      </c>
    </row>
    <row r="49" spans="1:7">
      <c r="A49" s="315" t="s">
        <v>66</v>
      </c>
      <c r="B49" s="313"/>
      <c r="C49" s="300"/>
      <c r="D49" s="774"/>
      <c r="E49" s="774"/>
      <c r="F49" s="322"/>
      <c r="G49" s="322"/>
    </row>
    <row r="50" spans="1:7">
      <c r="A50" s="302" t="s">
        <v>260</v>
      </c>
      <c r="B50" s="305" t="s">
        <v>126</v>
      </c>
      <c r="C50" s="306">
        <v>2250</v>
      </c>
      <c r="D50" s="770">
        <f>'PREC marzo 2014'!C47</f>
        <v>150</v>
      </c>
      <c r="E50" s="770">
        <f>C50*D50</f>
        <v>337500</v>
      </c>
      <c r="F50" s="306">
        <f>E50/$E$53*100</f>
        <v>6.006941617709451</v>
      </c>
      <c r="G50" s="306">
        <f>E50/$F$3</f>
        <v>626.68275926097863</v>
      </c>
    </row>
    <row r="51" spans="1:7">
      <c r="A51" s="323" t="s">
        <v>178</v>
      </c>
      <c r="B51" s="313"/>
      <c r="C51" s="300"/>
      <c r="D51" s="774"/>
      <c r="E51" s="775">
        <v>70000</v>
      </c>
      <c r="F51" s="306">
        <f>E51/$E$53*100</f>
        <v>1.2458841873767752</v>
      </c>
      <c r="G51" s="306">
        <f>E51/$F$3</f>
        <v>129.97864636524</v>
      </c>
    </row>
    <row r="52" spans="1:7" ht="13.5" thickBot="1">
      <c r="A52" s="805" t="s">
        <v>262</v>
      </c>
      <c r="B52" s="806" t="s">
        <v>9</v>
      </c>
      <c r="C52" s="807" t="s">
        <v>9</v>
      </c>
      <c r="D52" s="808" t="s">
        <v>9</v>
      </c>
      <c r="E52" s="808">
        <f>+E51+E50</f>
        <v>407500</v>
      </c>
      <c r="F52" s="809">
        <f>E52/$E$53*100</f>
        <v>7.2528258050862258</v>
      </c>
      <c r="G52" s="311">
        <f>+G51+G50</f>
        <v>756.66140562621865</v>
      </c>
    </row>
    <row r="53" spans="1:7" ht="13.5" thickBot="1">
      <c r="A53" s="814" t="s">
        <v>217</v>
      </c>
      <c r="B53" s="815"/>
      <c r="C53" s="816"/>
      <c r="D53" s="816"/>
      <c r="E53" s="817">
        <f>+E28+E48+E11+E52</f>
        <v>5618499.7537681162</v>
      </c>
      <c r="F53" s="817">
        <f>+F28+F48+F11+F52</f>
        <v>100.00000000000001</v>
      </c>
      <c r="G53" s="556">
        <f>+G28+G48+G11+G52</f>
        <v>8055.8903607243828</v>
      </c>
    </row>
    <row r="54" spans="1:7" ht="13.5" thickBot="1">
      <c r="A54" s="810"/>
      <c r="B54" s="811"/>
      <c r="C54" s="812"/>
      <c r="D54" s="812"/>
      <c r="E54" s="813"/>
      <c r="F54" s="813"/>
      <c r="G54" s="483"/>
    </row>
    <row r="55" spans="1:7">
      <c r="A55" s="819" t="s">
        <v>343</v>
      </c>
      <c r="B55" s="820">
        <v>24000</v>
      </c>
      <c r="C55" s="294" t="s">
        <v>158</v>
      </c>
      <c r="D55" s="265"/>
      <c r="E55" s="821">
        <v>30000</v>
      </c>
      <c r="F55" s="40" t="s">
        <v>158</v>
      </c>
      <c r="G55" s="818" t="s">
        <v>9</v>
      </c>
    </row>
    <row r="56" spans="1:7" ht="13.5" thickBot="1">
      <c r="A56" s="823" t="s">
        <v>646</v>
      </c>
      <c r="B56" s="398">
        <f>+E53/B55</f>
        <v>234.10415640700484</v>
      </c>
      <c r="C56" s="81" t="s">
        <v>74</v>
      </c>
      <c r="D56" s="297"/>
      <c r="E56" s="822">
        <f>+E53/E55</f>
        <v>187.28332512560388</v>
      </c>
      <c r="F56" s="41" t="s">
        <v>74</v>
      </c>
      <c r="G56" s="398" t="s">
        <v>9</v>
      </c>
    </row>
    <row r="57" spans="1:7">
      <c r="A57" s="62" t="s">
        <v>481</v>
      </c>
      <c r="B57" s="982">
        <f>+E76</f>
        <v>1828.5714285714287</v>
      </c>
      <c r="C57" s="62" t="s">
        <v>480</v>
      </c>
      <c r="D57" s="239"/>
      <c r="E57" s="398" t="s">
        <v>9</v>
      </c>
      <c r="F57" s="81"/>
      <c r="G57" s="398"/>
    </row>
    <row r="58" spans="1:7">
      <c r="A58" s="62" t="s">
        <v>344</v>
      </c>
      <c r="B58" s="982">
        <f>+E53/B57</f>
        <v>3072.6170528419384</v>
      </c>
      <c r="C58" s="62" t="s">
        <v>482</v>
      </c>
      <c r="D58" s="239"/>
      <c r="E58" s="398"/>
      <c r="F58" s="81"/>
      <c r="G58" s="398"/>
    </row>
    <row r="59" spans="1:7">
      <c r="A59" s="1019" t="str">
        <f>tomate!A60</f>
        <v>Precio finca mayo 2015</v>
      </c>
      <c r="B59" s="1122">
        <v>60</v>
      </c>
      <c r="C59" s="1123" t="s">
        <v>375</v>
      </c>
      <c r="D59" s="57"/>
      <c r="E59" s="984">
        <f>(B59/145)*1000</f>
        <v>413.79310344827587</v>
      </c>
      <c r="F59" s="434" t="s">
        <v>74</v>
      </c>
    </row>
    <row r="60" spans="1:7">
      <c r="A60" s="983" t="s">
        <v>1105</v>
      </c>
      <c r="B60" s="982">
        <f>B59-10</f>
        <v>50</v>
      </c>
      <c r="C60" s="62" t="s">
        <v>375</v>
      </c>
      <c r="D60" s="57"/>
      <c r="E60" s="984">
        <f>(B60/102)*1000</f>
        <v>490.19607843137254</v>
      </c>
      <c r="F60" s="434" t="s">
        <v>74</v>
      </c>
    </row>
    <row r="61" spans="1:7">
      <c r="A61" s="324" t="s">
        <v>483</v>
      </c>
      <c r="B61" s="286">
        <v>16000</v>
      </c>
      <c r="C61" s="87" t="s">
        <v>478</v>
      </c>
      <c r="D61" s="87"/>
      <c r="E61" s="87"/>
    </row>
    <row r="62" spans="1:7">
      <c r="B62" s="87"/>
      <c r="C62" s="87"/>
      <c r="D62" s="87"/>
      <c r="E62" s="87"/>
      <c r="F62" s="87"/>
      <c r="G62" s="87" t="s">
        <v>9</v>
      </c>
    </row>
    <row r="63" spans="1:7">
      <c r="A63" s="229" t="s">
        <v>653</v>
      </c>
    </row>
    <row r="66" spans="1:8">
      <c r="A66" s="804" t="s">
        <v>655</v>
      </c>
      <c r="B66" s="53"/>
      <c r="C66" s="53"/>
      <c r="D66" s="53"/>
      <c r="E66" s="53"/>
    </row>
    <row r="67" spans="1:8">
      <c r="A67" t="s">
        <v>656</v>
      </c>
    </row>
    <row r="68" spans="1:8">
      <c r="A68" t="s">
        <v>657</v>
      </c>
      <c r="H68" s="875" t="s">
        <v>9</v>
      </c>
    </row>
    <row r="69" spans="1:8">
      <c r="H69" s="875" t="s">
        <v>9</v>
      </c>
    </row>
    <row r="70" spans="1:8">
      <c r="A70" s="325">
        <v>16000</v>
      </c>
      <c r="B70" s="57" t="s">
        <v>357</v>
      </c>
      <c r="C70" s="8"/>
      <c r="D70" s="8"/>
      <c r="E70" s="8"/>
      <c r="F70" s="8"/>
      <c r="G70" s="8"/>
      <c r="H70" s="875" t="s">
        <v>9</v>
      </c>
    </row>
    <row r="71" spans="1:8">
      <c r="A71" s="325">
        <v>25</v>
      </c>
      <c r="B71" s="57" t="s">
        <v>349</v>
      </c>
      <c r="C71" s="8"/>
      <c r="D71" s="8"/>
      <c r="E71" s="8"/>
      <c r="F71" s="8"/>
      <c r="G71" s="8"/>
    </row>
    <row r="72" spans="1:8">
      <c r="A72" s="325">
        <f>+A71*A70</f>
        <v>400000</v>
      </c>
      <c r="B72" s="57" t="s">
        <v>350</v>
      </c>
      <c r="C72" s="8"/>
      <c r="D72" s="8"/>
      <c r="E72" s="62" t="s">
        <v>356</v>
      </c>
      <c r="F72" s="62" t="s">
        <v>355</v>
      </c>
      <c r="G72" s="8"/>
    </row>
    <row r="73" spans="1:8">
      <c r="A73" s="325">
        <f>+$A$72*D73</f>
        <v>120000</v>
      </c>
      <c r="B73" s="57" t="s">
        <v>350</v>
      </c>
      <c r="C73" s="57" t="s">
        <v>352</v>
      </c>
      <c r="D73" s="326">
        <v>0.3</v>
      </c>
      <c r="E73" s="327">
        <f>+A73/F73</f>
        <v>800</v>
      </c>
      <c r="F73" s="8">
        <v>150</v>
      </c>
      <c r="G73" s="8" t="s">
        <v>351</v>
      </c>
    </row>
    <row r="74" spans="1:8">
      <c r="A74" s="325">
        <f>+$A$72*D74</f>
        <v>200000</v>
      </c>
      <c r="B74" s="57" t="s">
        <v>350</v>
      </c>
      <c r="C74" s="8" t="s">
        <v>353</v>
      </c>
      <c r="D74" s="326">
        <v>0.5</v>
      </c>
      <c r="E74" s="327">
        <f>+A74/F74</f>
        <v>800</v>
      </c>
      <c r="F74" s="8">
        <v>250</v>
      </c>
      <c r="G74" s="8" t="s">
        <v>351</v>
      </c>
    </row>
    <row r="75" spans="1:8">
      <c r="A75" s="325">
        <f>+$A$72*D75</f>
        <v>80000</v>
      </c>
      <c r="B75" s="57" t="s">
        <v>350</v>
      </c>
      <c r="C75" s="8" t="s">
        <v>354</v>
      </c>
      <c r="D75" s="326">
        <v>0.2</v>
      </c>
      <c r="E75" s="327">
        <f>+A75/F75</f>
        <v>228.57142857142858</v>
      </c>
      <c r="F75" s="8">
        <v>350</v>
      </c>
      <c r="G75" s="8" t="s">
        <v>351</v>
      </c>
    </row>
    <row r="76" spans="1:8">
      <c r="A76" s="8"/>
      <c r="B76" s="8"/>
      <c r="C76" s="8"/>
      <c r="D76" s="803">
        <f>SUM(D73:D75)</f>
        <v>1</v>
      </c>
      <c r="E76" s="435">
        <f>SUM(E73:E75)</f>
        <v>1828.5714285714287</v>
      </c>
      <c r="F76" s="8"/>
      <c r="G76" s="8"/>
    </row>
    <row r="77" spans="1:8">
      <c r="A77" s="53" t="s">
        <v>1109</v>
      </c>
      <c r="E77" t="s">
        <v>9</v>
      </c>
    </row>
    <row r="78" spans="1:8">
      <c r="A78" s="434" t="s">
        <v>1106</v>
      </c>
      <c r="B78" s="434" t="s">
        <v>1107</v>
      </c>
      <c r="C78" s="434" t="s">
        <v>1108</v>
      </c>
    </row>
    <row r="79" spans="1:8">
      <c r="A79" s="434">
        <v>145</v>
      </c>
      <c r="B79" s="434">
        <v>102</v>
      </c>
      <c r="C79" s="434">
        <v>68</v>
      </c>
    </row>
  </sheetData>
  <phoneticPr fontId="34" type="noConversion"/>
  <pageMargins left="0.78740157480314965" right="0.59055118110236227" top="0.66" bottom="0.77" header="0.51181102362204722" footer="0.51181102362204722"/>
  <pageSetup scale="85" orientation="portrait" horizontalDpi="120" verticalDpi="144" r:id="rId1"/>
  <headerFooter alignWithMargins="0"/>
  <drawing r:id="rId2"/>
</worksheet>
</file>

<file path=xl/worksheets/sheet13.xml><?xml version="1.0" encoding="utf-8"?>
<worksheet xmlns="http://schemas.openxmlformats.org/spreadsheetml/2006/main" xmlns:r="http://schemas.openxmlformats.org/officeDocument/2006/relationships">
  <dimension ref="A1:G48"/>
  <sheetViews>
    <sheetView topLeftCell="A10" workbookViewId="0">
      <selection activeCell="B47" sqref="B47"/>
    </sheetView>
  </sheetViews>
  <sheetFormatPr baseColWidth="10" defaultRowHeight="12.75"/>
  <cols>
    <col min="1" max="1" width="22.85546875" customWidth="1"/>
    <col min="2" max="2" width="9.5703125" customWidth="1"/>
    <col min="3" max="3" width="10.5703125" customWidth="1"/>
    <col min="4" max="4" width="10.7109375" customWidth="1"/>
  </cols>
  <sheetData>
    <row r="1" spans="1:6" ht="16.5" thickBot="1">
      <c r="A1" s="625" t="s">
        <v>380</v>
      </c>
      <c r="B1" s="87"/>
      <c r="C1" s="87"/>
      <c r="D1" s="87"/>
      <c r="E1" s="87"/>
      <c r="F1" s="87"/>
    </row>
    <row r="2" spans="1:6">
      <c r="A2" s="177" t="s">
        <v>331</v>
      </c>
      <c r="B2" s="87"/>
      <c r="C2" s="87"/>
      <c r="D2" s="87"/>
      <c r="E2" s="431" t="s">
        <v>381</v>
      </c>
      <c r="F2" s="746">
        <f>+'PREC marzo 2014'!E11</f>
        <v>985.47749999999996</v>
      </c>
    </row>
    <row r="3" spans="1:6" ht="16.5" thickBot="1">
      <c r="A3" s="625" t="str">
        <f>'papa 1'!A5</f>
        <v xml:space="preserve">Actualizado en la fecha: </v>
      </c>
      <c r="B3" s="87"/>
      <c r="C3" s="54">
        <f>'papa 1'!B5</f>
        <v>42143</v>
      </c>
      <c r="D3" s="87"/>
      <c r="E3" s="747" t="s">
        <v>382</v>
      </c>
      <c r="F3" s="748">
        <f>+'PREC marzo 2014'!B4</f>
        <v>538.54999999999995</v>
      </c>
    </row>
    <row r="4" spans="1:6">
      <c r="A4" s="557"/>
      <c r="B4" s="558"/>
      <c r="C4" s="559" t="s">
        <v>9</v>
      </c>
      <c r="D4" s="560" t="s">
        <v>13</v>
      </c>
      <c r="E4" s="562" t="s">
        <v>383</v>
      </c>
      <c r="F4" s="745" t="s">
        <v>195</v>
      </c>
    </row>
    <row r="5" spans="1:6">
      <c r="A5" s="561" t="s">
        <v>95</v>
      </c>
      <c r="B5" s="562" t="s">
        <v>197</v>
      </c>
      <c r="C5" s="562" t="s">
        <v>198</v>
      </c>
      <c r="D5" s="562" t="s">
        <v>15</v>
      </c>
      <c r="E5" s="562" t="s">
        <v>16</v>
      </c>
      <c r="F5" s="563"/>
    </row>
    <row r="6" spans="1:6" ht="13.5" thickBot="1">
      <c r="A6" s="564"/>
      <c r="B6" s="565"/>
      <c r="C6" s="565"/>
      <c r="D6" s="566" t="s">
        <v>200</v>
      </c>
      <c r="E6" s="566" t="s">
        <v>200</v>
      </c>
      <c r="F6" s="567" t="s">
        <v>82</v>
      </c>
    </row>
    <row r="7" spans="1:6">
      <c r="A7" s="358" t="s">
        <v>134</v>
      </c>
      <c r="B7" s="232"/>
      <c r="C7" s="239"/>
      <c r="D7" s="239"/>
      <c r="E7" s="239"/>
      <c r="F7" s="241"/>
    </row>
    <row r="8" spans="1:6">
      <c r="A8" s="359" t="s">
        <v>202</v>
      </c>
      <c r="B8" s="232"/>
      <c r="C8" s="239"/>
      <c r="D8" s="279"/>
      <c r="E8" s="273" t="s">
        <v>9</v>
      </c>
      <c r="F8" s="241"/>
    </row>
    <row r="9" spans="1:6">
      <c r="A9" s="359" t="s">
        <v>136</v>
      </c>
      <c r="B9" s="233" t="s">
        <v>384</v>
      </c>
      <c r="C9" s="243">
        <v>4</v>
      </c>
      <c r="D9" s="274">
        <f>+'PREC marzo 2014'!C7</f>
        <v>18000</v>
      </c>
      <c r="E9" s="274">
        <f>C9*D9</f>
        <v>72000</v>
      </c>
      <c r="F9" s="244">
        <f>E9/$E$41*100</f>
        <v>2.8092006669729077</v>
      </c>
    </row>
    <row r="10" spans="1:6">
      <c r="A10" s="359" t="s">
        <v>385</v>
      </c>
      <c r="B10" s="233" t="s">
        <v>384</v>
      </c>
      <c r="C10" s="243">
        <v>4</v>
      </c>
      <c r="D10" s="274">
        <f>+'PREC marzo 2014'!C7</f>
        <v>18000</v>
      </c>
      <c r="E10" s="274">
        <f>C10*D10</f>
        <v>72000</v>
      </c>
      <c r="F10" s="244">
        <f>E10/$E$41*100</f>
        <v>2.8092006669729077</v>
      </c>
    </row>
    <row r="11" spans="1:6">
      <c r="A11" s="359" t="s">
        <v>138</v>
      </c>
      <c r="B11" s="233" t="s">
        <v>23</v>
      </c>
      <c r="C11" s="243">
        <f>150*8</f>
        <v>1200</v>
      </c>
      <c r="D11" s="274">
        <f t="shared" ref="D11:D20" si="0">+$F$2</f>
        <v>985.47749999999996</v>
      </c>
      <c r="E11" s="274">
        <f>C11*D11</f>
        <v>1182573</v>
      </c>
      <c r="F11" s="244">
        <f>E11/$E$41*100</f>
        <v>46.1400675047799</v>
      </c>
    </row>
    <row r="12" spans="1:6" ht="13.5" thickBot="1">
      <c r="A12" s="359" t="s">
        <v>368</v>
      </c>
      <c r="B12" s="233" t="s">
        <v>206</v>
      </c>
      <c r="C12" s="243">
        <v>12</v>
      </c>
      <c r="D12" s="274">
        <f>'PREC marzo 2014'!E13</f>
        <v>1875</v>
      </c>
      <c r="E12" s="274">
        <f>C12*D12</f>
        <v>22500</v>
      </c>
      <c r="F12" s="244">
        <f>E12/$E$41*100</f>
        <v>0.87787520842903355</v>
      </c>
    </row>
    <row r="13" spans="1:6" ht="13.5" thickBot="1">
      <c r="A13" s="360" t="s">
        <v>140</v>
      </c>
      <c r="B13" s="361"/>
      <c r="C13" s="362"/>
      <c r="D13" s="776"/>
      <c r="E13" s="363">
        <f>SUM(E9:E12)</f>
        <v>1349073</v>
      </c>
      <c r="F13" s="364">
        <f>E13/$E$41*100</f>
        <v>52.636344047154751</v>
      </c>
    </row>
    <row r="14" spans="1:6">
      <c r="A14" s="358" t="s">
        <v>141</v>
      </c>
      <c r="B14" s="232"/>
      <c r="C14" s="239"/>
      <c r="D14" s="279"/>
      <c r="E14" s="279"/>
      <c r="F14" s="250" t="s">
        <v>9</v>
      </c>
    </row>
    <row r="15" spans="1:6">
      <c r="A15" s="359" t="s">
        <v>386</v>
      </c>
      <c r="B15" s="233" t="s">
        <v>23</v>
      </c>
      <c r="C15" s="243">
        <v>80</v>
      </c>
      <c r="D15" s="274">
        <f>+$F$2</f>
        <v>985.47749999999996</v>
      </c>
      <c r="E15" s="274">
        <f t="shared" ref="E15:E20" si="1">C15*D15</f>
        <v>78838.2</v>
      </c>
      <c r="F15" s="244">
        <f t="shared" ref="F15:F23" si="2">E15/$E$41*100</f>
        <v>3.0760045003186596</v>
      </c>
    </row>
    <row r="16" spans="1:6">
      <c r="A16" s="359" t="s">
        <v>316</v>
      </c>
      <c r="B16" s="233" t="s">
        <v>23</v>
      </c>
      <c r="C16" s="243">
        <v>40</v>
      </c>
      <c r="D16" s="274">
        <f t="shared" si="0"/>
        <v>985.47749999999996</v>
      </c>
      <c r="E16" s="274">
        <f t="shared" si="1"/>
        <v>39419.1</v>
      </c>
      <c r="F16" s="244">
        <f t="shared" si="2"/>
        <v>1.5380022501593298</v>
      </c>
    </row>
    <row r="17" spans="1:6">
      <c r="A17" s="359" t="s">
        <v>387</v>
      </c>
      <c r="B17" s="233" t="s">
        <v>23</v>
      </c>
      <c r="C17" s="243">
        <v>24</v>
      </c>
      <c r="D17" s="274">
        <f t="shared" si="0"/>
        <v>985.47749999999996</v>
      </c>
      <c r="E17" s="274">
        <f t="shared" si="1"/>
        <v>23651.46</v>
      </c>
      <c r="F17" s="244">
        <f t="shared" si="2"/>
        <v>0.92280135009559783</v>
      </c>
    </row>
    <row r="18" spans="1:6">
      <c r="A18" s="359" t="s">
        <v>237</v>
      </c>
      <c r="B18" s="233" t="s">
        <v>23</v>
      </c>
      <c r="C18" s="243">
        <f>15*8</f>
        <v>120</v>
      </c>
      <c r="D18" s="274">
        <f t="shared" si="0"/>
        <v>985.47749999999996</v>
      </c>
      <c r="E18" s="274">
        <f t="shared" si="1"/>
        <v>118257.29999999999</v>
      </c>
      <c r="F18" s="244">
        <f t="shared" si="2"/>
        <v>4.6140067504779889</v>
      </c>
    </row>
    <row r="19" spans="1:6">
      <c r="A19" s="359" t="s">
        <v>169</v>
      </c>
      <c r="B19" s="233" t="s">
        <v>23</v>
      </c>
      <c r="C19" s="243">
        <f>12*8</f>
        <v>96</v>
      </c>
      <c r="D19" s="274">
        <f t="shared" si="0"/>
        <v>985.47749999999996</v>
      </c>
      <c r="E19" s="274">
        <f t="shared" si="1"/>
        <v>94605.84</v>
      </c>
      <c r="F19" s="244">
        <f t="shared" si="2"/>
        <v>3.6912054003823913</v>
      </c>
    </row>
    <row r="20" spans="1:6">
      <c r="A20" s="359" t="s">
        <v>388</v>
      </c>
      <c r="B20" s="233" t="s">
        <v>23</v>
      </c>
      <c r="C20" s="243">
        <v>48</v>
      </c>
      <c r="D20" s="274">
        <f t="shared" si="0"/>
        <v>985.47749999999996</v>
      </c>
      <c r="E20" s="274">
        <f t="shared" si="1"/>
        <v>47302.92</v>
      </c>
      <c r="F20" s="244">
        <f t="shared" si="2"/>
        <v>1.8456027001911957</v>
      </c>
    </row>
    <row r="21" spans="1:6">
      <c r="A21" s="365" t="s">
        <v>314</v>
      </c>
      <c r="B21" s="366"/>
      <c r="C21" s="255"/>
      <c r="D21" s="777"/>
      <c r="E21" s="367">
        <f>SUM(E15:E20)</f>
        <v>402074.81999999995</v>
      </c>
      <c r="F21" s="256">
        <f t="shared" si="2"/>
        <v>15.687622951625164</v>
      </c>
    </row>
    <row r="22" spans="1:6" ht="13.5" thickBot="1">
      <c r="A22" s="359" t="s">
        <v>721</v>
      </c>
      <c r="B22" s="232" t="s">
        <v>720</v>
      </c>
      <c r="C22" s="239"/>
      <c r="D22" s="279"/>
      <c r="E22" s="274">
        <f>3800*4</f>
        <v>15200</v>
      </c>
      <c r="F22" s="244">
        <f t="shared" si="2"/>
        <v>0.593053474138725</v>
      </c>
    </row>
    <row r="23" spans="1:6" ht="13.5" thickBot="1">
      <c r="A23" s="360" t="s">
        <v>389</v>
      </c>
      <c r="B23" s="361"/>
      <c r="C23" s="362"/>
      <c r="D23" s="776"/>
      <c r="E23" s="363">
        <f>E22+E21</f>
        <v>417274.81999999995</v>
      </c>
      <c r="F23" s="364">
        <f t="shared" si="2"/>
        <v>16.280676425763886</v>
      </c>
    </row>
    <row r="24" spans="1:6">
      <c r="A24" s="358" t="s">
        <v>390</v>
      </c>
      <c r="B24" s="232"/>
      <c r="C24" s="239"/>
      <c r="D24" s="279" t="s">
        <v>9</v>
      </c>
      <c r="E24" s="279"/>
      <c r="F24" s="241"/>
    </row>
    <row r="25" spans="1:6">
      <c r="A25" s="238" t="str">
        <f>'PREC marzo 2014'!A29</f>
        <v>vainica provider green</v>
      </c>
      <c r="B25" s="233" t="s">
        <v>36</v>
      </c>
      <c r="C25" s="242">
        <v>60</v>
      </c>
      <c r="D25" s="274">
        <f>+'PREC marzo 2014'!C29</f>
        <v>3228</v>
      </c>
      <c r="E25" s="274">
        <f t="shared" ref="E25:E36" si="3">C25*D25</f>
        <v>193680</v>
      </c>
      <c r="F25" s="244">
        <f t="shared" ref="F25:F37" si="4">E25/$E$41*100</f>
        <v>7.5567497941571222</v>
      </c>
    </row>
    <row r="26" spans="1:6">
      <c r="A26" s="359" t="s">
        <v>289</v>
      </c>
      <c r="B26" s="233" t="s">
        <v>36</v>
      </c>
      <c r="C26" s="242">
        <f>10*50</f>
        <v>500</v>
      </c>
      <c r="D26" s="274">
        <f>'PREC marzo 2014'!E69</f>
        <v>342.66666666666669</v>
      </c>
      <c r="E26" s="274">
        <f t="shared" si="3"/>
        <v>171333.33333333334</v>
      </c>
      <c r="F26" s="244">
        <f t="shared" si="4"/>
        <v>6.6848571427040495</v>
      </c>
    </row>
    <row r="27" spans="1:6">
      <c r="A27" s="231" t="s">
        <v>391</v>
      </c>
      <c r="B27" s="233" t="s">
        <v>38</v>
      </c>
      <c r="C27" s="242">
        <v>1</v>
      </c>
      <c r="D27" s="274">
        <f>+'PREC marzo 2014'!E109</f>
        <v>3011</v>
      </c>
      <c r="E27" s="274">
        <f t="shared" si="3"/>
        <v>3011</v>
      </c>
      <c r="F27" s="244">
        <f t="shared" si="4"/>
        <v>0.11747921122576979</v>
      </c>
    </row>
    <row r="28" spans="1:6">
      <c r="A28" s="231" t="s">
        <v>213</v>
      </c>
      <c r="B28" s="233" t="s">
        <v>38</v>
      </c>
      <c r="C28" s="242">
        <v>0.5</v>
      </c>
      <c r="D28" s="274">
        <f>+'PREC marzo 2014'!E116</f>
        <v>18050</v>
      </c>
      <c r="E28" s="274">
        <f t="shared" si="3"/>
        <v>9025</v>
      </c>
      <c r="F28" s="244">
        <f t="shared" si="4"/>
        <v>0.35212550026986794</v>
      </c>
    </row>
    <row r="29" spans="1:6">
      <c r="A29" s="359" t="s">
        <v>392</v>
      </c>
      <c r="B29" s="233" t="s">
        <v>283</v>
      </c>
      <c r="C29" s="242">
        <v>1</v>
      </c>
      <c r="D29" s="274">
        <f>+'PREC marzo 2014'!C195</f>
        <v>2677</v>
      </c>
      <c r="E29" s="274">
        <f t="shared" si="3"/>
        <v>2677</v>
      </c>
      <c r="F29" s="244">
        <f t="shared" si="4"/>
        <v>0.10444764146508992</v>
      </c>
    </row>
    <row r="30" spans="1:6">
      <c r="A30" s="231" t="s">
        <v>122</v>
      </c>
      <c r="B30" s="233" t="s">
        <v>38</v>
      </c>
      <c r="C30" s="242">
        <v>1.5</v>
      </c>
      <c r="D30" s="274">
        <f>'PREC marzo 2014'!E186</f>
        <v>32000</v>
      </c>
      <c r="E30" s="274">
        <f t="shared" si="3"/>
        <v>48000</v>
      </c>
      <c r="F30" s="244">
        <f t="shared" si="4"/>
        <v>1.8728004446486053</v>
      </c>
    </row>
    <row r="31" spans="1:6">
      <c r="A31" s="359" t="s">
        <v>393</v>
      </c>
      <c r="B31" s="233" t="s">
        <v>36</v>
      </c>
      <c r="C31" s="242">
        <v>4</v>
      </c>
      <c r="D31" s="274">
        <f>+'PREC marzo 2014'!E155</f>
        <v>17252</v>
      </c>
      <c r="E31" s="274">
        <f t="shared" si="3"/>
        <v>69008</v>
      </c>
      <c r="F31" s="244">
        <f t="shared" si="4"/>
        <v>2.6924627725898111</v>
      </c>
    </row>
    <row r="32" spans="1:6">
      <c r="A32" s="231" t="s">
        <v>277</v>
      </c>
      <c r="B32" s="233" t="s">
        <v>38</v>
      </c>
      <c r="C32" s="242">
        <v>0.4</v>
      </c>
      <c r="D32" s="274">
        <f>+'PREC marzo 2014'!E143</f>
        <v>35000</v>
      </c>
      <c r="E32" s="274">
        <f t="shared" si="3"/>
        <v>14000</v>
      </c>
      <c r="F32" s="244">
        <f t="shared" si="4"/>
        <v>0.54623346302250975</v>
      </c>
    </row>
    <row r="33" spans="1:7">
      <c r="A33" s="231" t="s">
        <v>116</v>
      </c>
      <c r="B33" s="233" t="s">
        <v>36</v>
      </c>
      <c r="C33" s="242">
        <v>12</v>
      </c>
      <c r="D33" s="274">
        <f>+'PREC marzo 2014'!E181</f>
        <v>7233</v>
      </c>
      <c r="E33" s="274">
        <f t="shared" si="3"/>
        <v>86796</v>
      </c>
      <c r="F33" s="244">
        <f t="shared" si="4"/>
        <v>3.3864914040358398</v>
      </c>
    </row>
    <row r="34" spans="1:7">
      <c r="A34" s="231" t="s">
        <v>117</v>
      </c>
      <c r="B34" s="233" t="s">
        <v>38</v>
      </c>
      <c r="C34" s="242">
        <v>6</v>
      </c>
      <c r="D34" s="274">
        <f>'PREC marzo 2014'!E155</f>
        <v>17252</v>
      </c>
      <c r="E34" s="274">
        <f t="shared" si="3"/>
        <v>103512</v>
      </c>
      <c r="F34" s="244">
        <f t="shared" si="4"/>
        <v>4.0386941588847165</v>
      </c>
    </row>
    <row r="35" spans="1:7">
      <c r="A35" s="359" t="s">
        <v>1076</v>
      </c>
      <c r="B35" s="233" t="s">
        <v>38</v>
      </c>
      <c r="C35" s="242">
        <v>2</v>
      </c>
      <c r="D35" s="274">
        <f>+'PREC marzo 2014'!E223</f>
        <v>2235</v>
      </c>
      <c r="E35" s="274">
        <f t="shared" si="3"/>
        <v>4470</v>
      </c>
      <c r="F35" s="244">
        <f t="shared" si="4"/>
        <v>0.17440454140790135</v>
      </c>
    </row>
    <row r="36" spans="1:7" ht="13.5" thickBot="1">
      <c r="A36" s="359" t="s">
        <v>394</v>
      </c>
      <c r="B36" s="233" t="s">
        <v>38</v>
      </c>
      <c r="C36" s="242">
        <v>0.5</v>
      </c>
      <c r="D36" s="274">
        <f>'PREC marzo 2014'!E234</f>
        <v>2293</v>
      </c>
      <c r="E36" s="274">
        <f t="shared" si="3"/>
        <v>1146.5</v>
      </c>
      <c r="F36" s="244">
        <f t="shared" si="4"/>
        <v>4.4732618953950538E-2</v>
      </c>
    </row>
    <row r="37" spans="1:7" ht="13.5" thickBot="1">
      <c r="A37" s="360" t="s">
        <v>156</v>
      </c>
      <c r="B37" s="368" t="s">
        <v>9</v>
      </c>
      <c r="C37" s="369" t="s">
        <v>9</v>
      </c>
      <c r="D37" s="369" t="s">
        <v>9</v>
      </c>
      <c r="E37" s="363">
        <f>SUM(E25:E36)</f>
        <v>706658.83333333337</v>
      </c>
      <c r="F37" s="364">
        <f t="shared" si="4"/>
        <v>27.571478693365236</v>
      </c>
    </row>
    <row r="38" spans="1:7">
      <c r="A38" s="359" t="s">
        <v>66</v>
      </c>
      <c r="B38" s="232"/>
      <c r="C38" s="239"/>
      <c r="D38" s="239"/>
      <c r="E38" s="279"/>
      <c r="F38" s="241"/>
    </row>
    <row r="39" spans="1:7">
      <c r="A39" s="359" t="s">
        <v>215</v>
      </c>
      <c r="B39" s="232"/>
      <c r="C39" s="239"/>
      <c r="D39" s="239"/>
      <c r="E39" s="274">
        <v>50000</v>
      </c>
      <c r="F39" s="244">
        <f>E39/$E$41*100</f>
        <v>1.9508337965089637</v>
      </c>
    </row>
    <row r="40" spans="1:7" ht="13.5" thickBot="1">
      <c r="A40" s="359" t="s">
        <v>768</v>
      </c>
      <c r="B40" s="232"/>
      <c r="C40" s="239"/>
      <c r="D40" s="239"/>
      <c r="E40" s="274">
        <v>40000</v>
      </c>
      <c r="F40" s="244">
        <f>E40/$E$41*100</f>
        <v>1.5606670372071709</v>
      </c>
    </row>
    <row r="41" spans="1:7" ht="13.5" thickBot="1">
      <c r="A41" s="568" t="s">
        <v>395</v>
      </c>
      <c r="B41" s="569"/>
      <c r="C41" s="570"/>
      <c r="D41" s="570"/>
      <c r="E41" s="571">
        <f>E13+E23+E37+E39+E40</f>
        <v>2563006.6533333333</v>
      </c>
      <c r="F41" s="572">
        <f>E41/E41*100</f>
        <v>100</v>
      </c>
    </row>
    <row r="42" spans="1:7" ht="13.5" thickBot="1">
      <c r="A42" s="568" t="s">
        <v>396</v>
      </c>
      <c r="B42" s="569"/>
      <c r="C42" s="570"/>
      <c r="D42" s="570"/>
      <c r="E42" s="571">
        <f>+E41/F3</f>
        <v>4759.0876489338661</v>
      </c>
      <c r="F42" s="572" t="s">
        <v>9</v>
      </c>
    </row>
    <row r="43" spans="1:7">
      <c r="D43" s="87"/>
      <c r="E43" s="87"/>
      <c r="F43" s="87"/>
    </row>
    <row r="44" spans="1:7">
      <c r="A44" s="789" t="s">
        <v>397</v>
      </c>
      <c r="B44" s="874">
        <v>15000</v>
      </c>
      <c r="C44" s="62" t="s">
        <v>158</v>
      </c>
      <c r="D44" s="57"/>
    </row>
    <row r="45" spans="1:7" ht="13.5" thickBot="1">
      <c r="A45" s="789" t="s">
        <v>644</v>
      </c>
      <c r="B45" s="874">
        <f>E41/B44</f>
        <v>170.86711022222221</v>
      </c>
      <c r="C45" s="47" t="s">
        <v>74</v>
      </c>
      <c r="D45" s="57"/>
      <c r="G45" t="s">
        <v>9</v>
      </c>
    </row>
    <row r="46" spans="1:7">
      <c r="A46" s="292" t="s">
        <v>732</v>
      </c>
      <c r="B46" s="87"/>
      <c r="C46" s="87"/>
      <c r="D46" s="87"/>
      <c r="E46" s="87" t="s">
        <v>9</v>
      </c>
      <c r="F46" s="87"/>
    </row>
    <row r="47" spans="1:7">
      <c r="A47" s="1019" t="str">
        <f>remolacha!A47</f>
        <v>Precio finca mayo 2015</v>
      </c>
      <c r="B47" s="434">
        <f>resumen!F13</f>
        <v>600</v>
      </c>
      <c r="C47" s="434" t="s">
        <v>74</v>
      </c>
      <c r="D47" t="s">
        <v>9</v>
      </c>
      <c r="F47" t="s">
        <v>9</v>
      </c>
    </row>
    <row r="48" spans="1:7">
      <c r="A48" s="229" t="s">
        <v>653</v>
      </c>
    </row>
  </sheetData>
  <phoneticPr fontId="34" type="noConversion"/>
  <pageMargins left="0.78740157480314965" right="0.39370078740157483" top="0.78740157480314965" bottom="0.78740157480314965" header="0" footer="0"/>
  <pageSetup orientation="portrait" horizontalDpi="120" verticalDpi="144" r:id="rId1"/>
  <headerFooter alignWithMargins="0"/>
</worksheet>
</file>

<file path=xl/worksheets/sheet14.xml><?xml version="1.0" encoding="utf-8"?>
<worksheet xmlns="http://schemas.openxmlformats.org/spreadsheetml/2006/main" xmlns:r="http://schemas.openxmlformats.org/officeDocument/2006/relationships">
  <dimension ref="A1:H64"/>
  <sheetViews>
    <sheetView topLeftCell="A10" workbookViewId="0">
      <selection activeCell="B51" sqref="B51"/>
    </sheetView>
  </sheetViews>
  <sheetFormatPr baseColWidth="10" defaultRowHeight="12.75"/>
  <cols>
    <col min="1" max="1" width="26.5703125" customWidth="1"/>
    <col min="2" max="2" width="10.7109375" customWidth="1"/>
    <col min="3" max="3" width="9.28515625" customWidth="1"/>
    <col min="4" max="4" width="9.42578125" customWidth="1"/>
    <col min="5" max="5" width="10.85546875" customWidth="1"/>
    <col min="6" max="6" width="10.5703125" customWidth="1"/>
  </cols>
  <sheetData>
    <row r="1" spans="1:6" ht="13.5" thickBot="1">
      <c r="A1" s="636" t="s">
        <v>284</v>
      </c>
      <c r="B1" s="87"/>
      <c r="C1" s="87"/>
      <c r="D1" s="87"/>
      <c r="E1" s="87"/>
      <c r="F1" s="87"/>
    </row>
    <row r="2" spans="1:6">
      <c r="A2" s="637" t="s">
        <v>285</v>
      </c>
      <c r="B2" s="87"/>
      <c r="C2" s="87"/>
      <c r="D2" s="87"/>
      <c r="E2" s="638" t="s">
        <v>165</v>
      </c>
      <c r="F2" s="639">
        <f>+'PREC marzo 2014'!E11</f>
        <v>985.47749999999996</v>
      </c>
    </row>
    <row r="3" spans="1:6" ht="13.5" thickBot="1">
      <c r="A3" s="53" t="s">
        <v>188</v>
      </c>
      <c r="B3" s="54">
        <f>'PREC marzo 2014'!B3</f>
        <v>42143</v>
      </c>
      <c r="C3" s="87"/>
      <c r="D3" s="87"/>
      <c r="E3" s="230" t="s">
        <v>286</v>
      </c>
      <c r="F3" s="640">
        <f>+'PREC marzo 2014'!B4</f>
        <v>538.54999999999995</v>
      </c>
    </row>
    <row r="4" spans="1:6">
      <c r="A4" s="525"/>
      <c r="B4" s="526"/>
      <c r="C4" s="527" t="s">
        <v>9</v>
      </c>
      <c r="D4" s="588" t="s">
        <v>194</v>
      </c>
      <c r="E4" s="588" t="s">
        <v>13</v>
      </c>
      <c r="F4" s="589" t="s">
        <v>195</v>
      </c>
    </row>
    <row r="5" spans="1:6">
      <c r="A5" s="530" t="s">
        <v>95</v>
      </c>
      <c r="B5" s="528" t="s">
        <v>197</v>
      </c>
      <c r="C5" s="528" t="s">
        <v>198</v>
      </c>
      <c r="D5" s="528" t="s">
        <v>11</v>
      </c>
      <c r="E5" s="528" t="s">
        <v>16</v>
      </c>
      <c r="F5" s="590"/>
    </row>
    <row r="6" spans="1:6" ht="13.5" thickBot="1">
      <c r="A6" s="530" t="s">
        <v>9</v>
      </c>
      <c r="B6" s="533"/>
      <c r="C6" s="533"/>
      <c r="D6" s="531" t="s">
        <v>9</v>
      </c>
      <c r="E6" s="528" t="s">
        <v>200</v>
      </c>
      <c r="F6" s="529" t="s">
        <v>82</v>
      </c>
    </row>
    <row r="7" spans="1:6" ht="13.5" thickTop="1">
      <c r="A7" s="234" t="s">
        <v>134</v>
      </c>
      <c r="B7" s="235"/>
      <c r="C7" s="235"/>
      <c r="D7" s="235"/>
      <c r="E7" s="236" t="s">
        <v>9</v>
      </c>
      <c r="F7" s="237"/>
    </row>
    <row r="8" spans="1:6">
      <c r="A8" s="238" t="s">
        <v>202</v>
      </c>
      <c r="B8" s="239"/>
      <c r="C8" s="239"/>
      <c r="D8" s="239"/>
      <c r="E8" s="240" t="s">
        <v>9</v>
      </c>
      <c r="F8" s="241"/>
    </row>
    <row r="9" spans="1:6">
      <c r="A9" s="238" t="s">
        <v>203</v>
      </c>
      <c r="B9" s="240" t="s">
        <v>204</v>
      </c>
      <c r="C9" s="242">
        <v>4</v>
      </c>
      <c r="D9" s="274">
        <f>+'PREC marzo 2014'!C7</f>
        <v>18000</v>
      </c>
      <c r="E9" s="274">
        <f>C9*D9</f>
        <v>72000</v>
      </c>
      <c r="F9" s="244">
        <f>E9/$E$41*100</f>
        <v>1.3986983995671036</v>
      </c>
    </row>
    <row r="10" spans="1:6">
      <c r="A10" s="238" t="s">
        <v>136</v>
      </c>
      <c r="B10" s="240" t="s">
        <v>204</v>
      </c>
      <c r="C10" s="242">
        <v>4</v>
      </c>
      <c r="D10" s="274">
        <f>+D9</f>
        <v>18000</v>
      </c>
      <c r="E10" s="274">
        <f>C10*D10</f>
        <v>72000</v>
      </c>
      <c r="F10" s="244">
        <f>E10/$E$41*100</f>
        <v>1.3986983995671036</v>
      </c>
    </row>
    <row r="11" spans="1:6" ht="13.5" thickBot="1">
      <c r="A11" s="238" t="s">
        <v>205</v>
      </c>
      <c r="B11" s="240" t="s">
        <v>206</v>
      </c>
      <c r="C11" s="242">
        <v>12</v>
      </c>
      <c r="D11" s="274">
        <f>'PREC marzo 2014'!E13</f>
        <v>1875</v>
      </c>
      <c r="E11" s="274">
        <f>C11*D11</f>
        <v>22500</v>
      </c>
      <c r="F11" s="244">
        <f>E11/$E$41*100</f>
        <v>0.43709324986471992</v>
      </c>
    </row>
    <row r="12" spans="1:6" ht="13.5" thickBot="1">
      <c r="A12" s="245" t="s">
        <v>140</v>
      </c>
      <c r="B12" s="246"/>
      <c r="C12" s="246"/>
      <c r="D12" s="778"/>
      <c r="E12" s="779">
        <f>SUM(E9:E11)</f>
        <v>166500</v>
      </c>
      <c r="F12" s="247">
        <f>E12/$E$41*100</f>
        <v>3.2344900489989272</v>
      </c>
    </row>
    <row r="13" spans="1:6">
      <c r="A13" s="248" t="s">
        <v>292</v>
      </c>
      <c r="B13" s="258"/>
      <c r="C13" s="239"/>
      <c r="D13" s="780"/>
      <c r="E13" s="279"/>
      <c r="F13" s="241"/>
    </row>
    <row r="14" spans="1:6">
      <c r="A14" s="238" t="s">
        <v>235</v>
      </c>
      <c r="B14" s="240" t="s">
        <v>23</v>
      </c>
      <c r="C14" s="243">
        <v>176</v>
      </c>
      <c r="D14" s="274">
        <f t="shared" ref="D14:D21" si="0">+$F$2</f>
        <v>985.47749999999996</v>
      </c>
      <c r="E14" s="274">
        <f t="shared" ref="E14:E21" si="1">C14*D14</f>
        <v>173444.03999999998</v>
      </c>
      <c r="F14" s="244">
        <f>E14/$E$41*100</f>
        <v>3.3693875161451761</v>
      </c>
    </row>
    <row r="15" spans="1:6">
      <c r="A15" s="238" t="s">
        <v>208</v>
      </c>
      <c r="B15" s="240" t="s">
        <v>23</v>
      </c>
      <c r="C15" s="243">
        <v>150</v>
      </c>
      <c r="D15" s="274">
        <f t="shared" si="0"/>
        <v>985.47749999999996</v>
      </c>
      <c r="E15" s="274">
        <f t="shared" si="1"/>
        <v>147821.625</v>
      </c>
      <c r="F15" s="244">
        <f t="shared" ref="F15:F22" si="2">E15/$E$41*100</f>
        <v>2.8716370876237298</v>
      </c>
    </row>
    <row r="16" spans="1:6">
      <c r="A16" s="238" t="s">
        <v>293</v>
      </c>
      <c r="B16" s="240" t="s">
        <v>23</v>
      </c>
      <c r="C16" s="243">
        <v>24</v>
      </c>
      <c r="D16" s="274">
        <f t="shared" si="0"/>
        <v>985.47749999999996</v>
      </c>
      <c r="E16" s="274">
        <f t="shared" si="1"/>
        <v>23651.46</v>
      </c>
      <c r="F16" s="244">
        <f t="shared" si="2"/>
        <v>0.45946193401979685</v>
      </c>
    </row>
    <row r="17" spans="1:6">
      <c r="A17" s="238" t="s">
        <v>169</v>
      </c>
      <c r="B17" s="240" t="s">
        <v>23</v>
      </c>
      <c r="C17" s="243">
        <v>100</v>
      </c>
      <c r="D17" s="274">
        <f t="shared" si="0"/>
        <v>985.47749999999996</v>
      </c>
      <c r="E17" s="274">
        <f t="shared" si="1"/>
        <v>98547.75</v>
      </c>
      <c r="F17" s="244">
        <f t="shared" si="2"/>
        <v>1.9144247250824868</v>
      </c>
    </row>
    <row r="18" spans="1:6">
      <c r="A18" s="238" t="s">
        <v>148</v>
      </c>
      <c r="B18" s="240" t="s">
        <v>23</v>
      </c>
      <c r="C18" s="243">
        <v>56</v>
      </c>
      <c r="D18" s="274">
        <f t="shared" si="0"/>
        <v>985.47749999999996</v>
      </c>
      <c r="E18" s="274">
        <f t="shared" si="1"/>
        <v>55186.74</v>
      </c>
      <c r="F18" s="244">
        <f t="shared" si="2"/>
        <v>1.0720778460461926</v>
      </c>
    </row>
    <row r="19" spans="1:6">
      <c r="A19" s="238" t="s">
        <v>209</v>
      </c>
      <c r="B19" s="240" t="s">
        <v>23</v>
      </c>
      <c r="C19" s="243">
        <v>280</v>
      </c>
      <c r="D19" s="274">
        <f t="shared" si="0"/>
        <v>985.47749999999996</v>
      </c>
      <c r="E19" s="274">
        <f t="shared" si="1"/>
        <v>275933.7</v>
      </c>
      <c r="F19" s="244">
        <f t="shared" si="2"/>
        <v>5.3603892302309628</v>
      </c>
    </row>
    <row r="20" spans="1:6">
      <c r="A20" s="238" t="s">
        <v>210</v>
      </c>
      <c r="B20" s="240" t="s">
        <v>23</v>
      </c>
      <c r="C20" s="243">
        <v>200</v>
      </c>
      <c r="D20" s="274">
        <f t="shared" si="0"/>
        <v>985.47749999999996</v>
      </c>
      <c r="E20" s="274">
        <f t="shared" si="1"/>
        <v>197095.5</v>
      </c>
      <c r="F20" s="244">
        <f t="shared" si="2"/>
        <v>3.8288494501649737</v>
      </c>
    </row>
    <row r="21" spans="1:6">
      <c r="A21" s="238" t="s">
        <v>138</v>
      </c>
      <c r="B21" s="240" t="s">
        <v>23</v>
      </c>
      <c r="C21" s="243">
        <v>200</v>
      </c>
      <c r="D21" s="274">
        <f t="shared" si="0"/>
        <v>985.47749999999996</v>
      </c>
      <c r="E21" s="274">
        <f t="shared" si="1"/>
        <v>197095.5</v>
      </c>
      <c r="F21" s="244">
        <f t="shared" si="2"/>
        <v>3.8288494501649737</v>
      </c>
    </row>
    <row r="22" spans="1:6">
      <c r="A22" s="252" t="s">
        <v>153</v>
      </c>
      <c r="B22" s="253" t="s">
        <v>23</v>
      </c>
      <c r="C22" s="254">
        <f>SUM(C14:C21)</f>
        <v>1186</v>
      </c>
      <c r="D22" s="777"/>
      <c r="E22" s="367">
        <f>SUM(E14:E21)</f>
        <v>1168776.3149999999</v>
      </c>
      <c r="F22" s="244">
        <f t="shared" si="2"/>
        <v>22.705077239478292</v>
      </c>
    </row>
    <row r="23" spans="1:6" ht="13.5" thickBot="1">
      <c r="A23" s="252" t="s">
        <v>722</v>
      </c>
      <c r="B23" s="253" t="s">
        <v>723</v>
      </c>
      <c r="C23" s="259" t="s">
        <v>9</v>
      </c>
      <c r="D23" s="781" t="s">
        <v>9</v>
      </c>
      <c r="E23" s="367">
        <f>'PREC marzo 2014'!C10*4*3</f>
        <v>168000</v>
      </c>
      <c r="F23" s="244">
        <f>E23/$E$41*100</f>
        <v>3.2636295989899091</v>
      </c>
    </row>
    <row r="24" spans="1:6" ht="14.25" thickTop="1" thickBot="1">
      <c r="A24" s="260" t="s">
        <v>153</v>
      </c>
      <c r="B24" s="261"/>
      <c r="C24" s="261"/>
      <c r="D24" s="782"/>
      <c r="E24" s="783">
        <f>+E23+E22</f>
        <v>1336776.3149999999</v>
      </c>
      <c r="F24" s="262">
        <f>E24/$E$41*100</f>
        <v>25.968706838468197</v>
      </c>
    </row>
    <row r="25" spans="1:6">
      <c r="A25" s="264" t="s">
        <v>154</v>
      </c>
      <c r="B25" s="265"/>
      <c r="C25" s="265"/>
      <c r="D25" s="784"/>
      <c r="E25" s="784"/>
      <c r="F25" s="266" t="s">
        <v>9</v>
      </c>
    </row>
    <row r="26" spans="1:6">
      <c r="A26" s="238" t="s">
        <v>479</v>
      </c>
      <c r="B26" s="239" t="s">
        <v>197</v>
      </c>
      <c r="C26" s="279">
        <v>157500</v>
      </c>
      <c r="D26" s="279">
        <f>'PREC marzo 2014'!E36</f>
        <v>15</v>
      </c>
      <c r="E26" s="274">
        <f>C26*D26</f>
        <v>2362500</v>
      </c>
      <c r="F26" s="244">
        <f t="shared" ref="F26:F37" si="3">E26/$E$41*100</f>
        <v>45.894791235795587</v>
      </c>
    </row>
    <row r="27" spans="1:6">
      <c r="A27" s="238" t="s">
        <v>289</v>
      </c>
      <c r="B27" s="240" t="s">
        <v>36</v>
      </c>
      <c r="C27" s="279">
        <v>1000</v>
      </c>
      <c r="D27" s="274">
        <f>'PREC marzo 2014'!E69</f>
        <v>342.66666666666669</v>
      </c>
      <c r="E27" s="274">
        <f t="shared" ref="E27:E36" si="4">C27*D27</f>
        <v>342666.66666666669</v>
      </c>
      <c r="F27" s="244">
        <f t="shared" si="3"/>
        <v>6.6567683090508449</v>
      </c>
    </row>
    <row r="28" spans="1:6">
      <c r="A28" s="238" t="s">
        <v>765</v>
      </c>
      <c r="B28" s="240" t="s">
        <v>36</v>
      </c>
      <c r="C28" s="279">
        <v>1000</v>
      </c>
      <c r="D28" s="274">
        <f>'PREC marzo 2014'!E78</f>
        <v>426.66666666666669</v>
      </c>
      <c r="E28" s="274">
        <f t="shared" si="4"/>
        <v>426666.66666666669</v>
      </c>
      <c r="F28" s="244">
        <f t="shared" si="3"/>
        <v>8.288583108545799</v>
      </c>
    </row>
    <row r="29" spans="1:6">
      <c r="A29" s="238" t="s">
        <v>255</v>
      </c>
      <c r="B29" s="240" t="s">
        <v>38</v>
      </c>
      <c r="C29" s="242">
        <v>1.4</v>
      </c>
      <c r="D29" s="274">
        <f>'PREC marzo 2014'!E186</f>
        <v>32000</v>
      </c>
      <c r="E29" s="274">
        <f t="shared" si="4"/>
        <v>44800</v>
      </c>
      <c r="F29" s="244">
        <f t="shared" si="3"/>
        <v>0.87030122639730889</v>
      </c>
    </row>
    <row r="30" spans="1:6">
      <c r="A30" s="257" t="s">
        <v>1077</v>
      </c>
      <c r="B30" s="240" t="s">
        <v>38</v>
      </c>
      <c r="C30" s="243">
        <v>4</v>
      </c>
      <c r="D30" s="274">
        <f>'PREC marzo 2014'!E207</f>
        <v>5756</v>
      </c>
      <c r="E30" s="274">
        <f t="shared" si="4"/>
        <v>23024</v>
      </c>
      <c r="F30" s="244">
        <f t="shared" si="3"/>
        <v>0.44727266599490273</v>
      </c>
    </row>
    <row r="31" spans="1:6">
      <c r="A31" s="257" t="s">
        <v>294</v>
      </c>
      <c r="B31" s="240" t="s">
        <v>36</v>
      </c>
      <c r="C31" s="243">
        <v>20</v>
      </c>
      <c r="D31" s="274">
        <f>+'PREC marzo 2014'!E197</f>
        <v>3379.0666666666666</v>
      </c>
      <c r="E31" s="274">
        <f t="shared" si="4"/>
        <v>67581.333333333328</v>
      </c>
      <c r="F31" s="244">
        <f t="shared" si="3"/>
        <v>1.3128597607492263</v>
      </c>
    </row>
    <row r="32" spans="1:6">
      <c r="A32" s="238" t="s">
        <v>290</v>
      </c>
      <c r="B32" s="240" t="s">
        <v>36</v>
      </c>
      <c r="C32" s="243">
        <v>8</v>
      </c>
      <c r="D32" s="274">
        <f>+'PREC marzo 2014'!E181</f>
        <v>7233</v>
      </c>
      <c r="E32" s="274">
        <f t="shared" si="4"/>
        <v>57864</v>
      </c>
      <c r="F32" s="244">
        <f t="shared" si="3"/>
        <v>1.1240872804520956</v>
      </c>
    </row>
    <row r="33" spans="1:6">
      <c r="A33" s="257" t="s">
        <v>117</v>
      </c>
      <c r="B33" s="240" t="s">
        <v>38</v>
      </c>
      <c r="C33" s="243">
        <v>8</v>
      </c>
      <c r="D33" s="274">
        <f>'PREC marzo 2014'!E155</f>
        <v>17252</v>
      </c>
      <c r="E33" s="274">
        <f t="shared" si="4"/>
        <v>138016</v>
      </c>
      <c r="F33" s="244">
        <f t="shared" si="3"/>
        <v>2.6811494210368525</v>
      </c>
    </row>
    <row r="34" spans="1:6">
      <c r="A34" s="238" t="s">
        <v>295</v>
      </c>
      <c r="B34" s="240" t="s">
        <v>38</v>
      </c>
      <c r="C34" s="243">
        <v>1</v>
      </c>
      <c r="D34" s="274">
        <f>+'PREC marzo 2014'!E109</f>
        <v>3011</v>
      </c>
      <c r="E34" s="274">
        <f t="shared" si="4"/>
        <v>3011</v>
      </c>
      <c r="F34" s="244">
        <f t="shared" si="3"/>
        <v>5.8492790015229848E-2</v>
      </c>
    </row>
    <row r="35" spans="1:6">
      <c r="A35" s="257" t="s">
        <v>296</v>
      </c>
      <c r="B35" s="240" t="s">
        <v>38</v>
      </c>
      <c r="C35" s="243">
        <v>5</v>
      </c>
      <c r="D35" s="274">
        <f>'PREC marzo 2014'!E120</f>
        <v>8889</v>
      </c>
      <c r="E35" s="274">
        <f t="shared" si="4"/>
        <v>44445</v>
      </c>
      <c r="F35" s="244">
        <f t="shared" si="3"/>
        <v>0.86340486623277668</v>
      </c>
    </row>
    <row r="36" spans="1:6" ht="13.5" thickBot="1">
      <c r="A36" s="257" t="s">
        <v>297</v>
      </c>
      <c r="B36" s="240" t="s">
        <v>36</v>
      </c>
      <c r="C36" s="243">
        <v>8</v>
      </c>
      <c r="D36" s="274">
        <f>+'PREC marzo 2014'!E115</f>
        <v>4224</v>
      </c>
      <c r="E36" s="274">
        <f t="shared" si="4"/>
        <v>33792</v>
      </c>
      <c r="F36" s="244">
        <f t="shared" si="3"/>
        <v>0.65645578219682732</v>
      </c>
    </row>
    <row r="37" spans="1:6" ht="13.5" thickBot="1">
      <c r="A37" s="267" t="s">
        <v>156</v>
      </c>
      <c r="B37" s="268" t="s">
        <v>9</v>
      </c>
      <c r="C37" s="268" t="s">
        <v>9</v>
      </c>
      <c r="D37" s="769" t="s">
        <v>9</v>
      </c>
      <c r="E37" s="779">
        <f>SUM(E26:E36)</f>
        <v>3544366.6666666665</v>
      </c>
      <c r="F37" s="247">
        <f t="shared" si="3"/>
        <v>68.854166446467445</v>
      </c>
    </row>
    <row r="38" spans="1:6">
      <c r="A38" s="238" t="s">
        <v>66</v>
      </c>
      <c r="B38" s="258"/>
      <c r="C38" s="258"/>
      <c r="D38" s="258"/>
      <c r="E38" s="279"/>
      <c r="F38" s="241"/>
    </row>
    <row r="39" spans="1:6">
      <c r="A39" s="238" t="s">
        <v>298</v>
      </c>
      <c r="B39" s="258"/>
      <c r="C39" s="258"/>
      <c r="D39" s="258"/>
      <c r="E39" s="274">
        <v>60000</v>
      </c>
      <c r="F39" s="244">
        <f>E39/$E$41*100</f>
        <v>1.1655819996392531</v>
      </c>
    </row>
    <row r="40" spans="1:6">
      <c r="A40" s="238" t="s">
        <v>299</v>
      </c>
      <c r="B40" s="239"/>
      <c r="C40" s="239"/>
      <c r="D40" s="239"/>
      <c r="E40" s="274">
        <v>40000</v>
      </c>
      <c r="F40" s="244">
        <f>E40/$E$41*100</f>
        <v>0.77705466642616872</v>
      </c>
    </row>
    <row r="41" spans="1:6" ht="13.5" thickBot="1">
      <c r="A41" s="573" t="s">
        <v>300</v>
      </c>
      <c r="B41" s="574"/>
      <c r="C41" s="574"/>
      <c r="D41" s="574"/>
      <c r="E41" s="580">
        <f>+E37+E39+E40+E12+E24</f>
        <v>5147642.9816666665</v>
      </c>
      <c r="F41" s="575">
        <f>+F37+F39+F40+F12+F24</f>
        <v>99.999999999999986</v>
      </c>
    </row>
    <row r="42" spans="1:6" ht="13.5" thickBot="1">
      <c r="A42" s="576" t="s">
        <v>301</v>
      </c>
      <c r="B42" s="577"/>
      <c r="C42" s="577"/>
      <c r="D42" s="577"/>
      <c r="E42" s="578">
        <f>+E41/F3</f>
        <v>9558.3380961223047</v>
      </c>
      <c r="F42" s="579"/>
    </row>
    <row r="43" spans="1:6">
      <c r="A43" s="229" t="s">
        <v>9</v>
      </c>
      <c r="B43" s="87"/>
      <c r="C43" s="87"/>
      <c r="D43" s="87"/>
      <c r="E43" s="229" t="s">
        <v>9</v>
      </c>
      <c r="F43" s="87"/>
    </row>
    <row r="44" spans="1:6">
      <c r="A44" s="789" t="s">
        <v>727</v>
      </c>
      <c r="B44" s="62" t="s">
        <v>728</v>
      </c>
      <c r="D44" s="87"/>
      <c r="E44" s="229"/>
      <c r="F44" s="87"/>
    </row>
    <row r="45" spans="1:6">
      <c r="A45" s="789" t="s">
        <v>729</v>
      </c>
      <c r="B45" s="790" t="s">
        <v>730</v>
      </c>
      <c r="C45" s="81"/>
      <c r="D45" s="87"/>
      <c r="E45" s="229"/>
      <c r="F45" s="87"/>
    </row>
    <row r="46" spans="1:6">
      <c r="A46" s="789" t="s">
        <v>731</v>
      </c>
      <c r="B46" s="790"/>
      <c r="C46" s="81"/>
      <c r="D46" s="87"/>
      <c r="E46" s="229"/>
      <c r="F46" s="87"/>
    </row>
    <row r="47" spans="1:6">
      <c r="A47" s="789" t="s">
        <v>726</v>
      </c>
      <c r="B47" s="435">
        <v>112000</v>
      </c>
      <c r="C47" s="62" t="s">
        <v>268</v>
      </c>
      <c r="D47" s="87"/>
      <c r="E47" s="229"/>
      <c r="F47" s="87"/>
    </row>
    <row r="48" spans="1:6" ht="13.5" thickBot="1">
      <c r="A48" s="789" t="s">
        <v>852</v>
      </c>
      <c r="B48" s="435">
        <f>20%*B47</f>
        <v>22400</v>
      </c>
      <c r="C48" s="62" t="s">
        <v>268</v>
      </c>
      <c r="D48" s="87"/>
      <c r="E48" s="229"/>
      <c r="F48" s="87"/>
    </row>
    <row r="49" spans="1:8" ht="13.5" thickBot="1">
      <c r="A49" s="789" t="s">
        <v>725</v>
      </c>
      <c r="B49" s="435">
        <f>B47-B48</f>
        <v>89600</v>
      </c>
      <c r="C49" s="711" t="s">
        <v>268</v>
      </c>
      <c r="D49" s="635">
        <v>330</v>
      </c>
      <c r="E49" s="824">
        <f>B49*D49/1000</f>
        <v>29568</v>
      </c>
      <c r="F49" s="825" t="s">
        <v>158</v>
      </c>
    </row>
    <row r="50" spans="1:8">
      <c r="A50" s="789" t="s">
        <v>645</v>
      </c>
      <c r="B50" s="791">
        <f>E41/B49</f>
        <v>57.451372563244043</v>
      </c>
      <c r="C50" s="62" t="s">
        <v>303</v>
      </c>
      <c r="D50" s="87"/>
      <c r="E50" s="229"/>
      <c r="F50" s="87"/>
    </row>
    <row r="51" spans="1:8">
      <c r="A51" s="1019" t="str">
        <f>remolacha!A47</f>
        <v>Precio finca mayo 2015</v>
      </c>
      <c r="B51" s="62">
        <f>resumen!F14</f>
        <v>150</v>
      </c>
      <c r="C51" s="62" t="s">
        <v>303</v>
      </c>
      <c r="D51" s="977" t="s">
        <v>9</v>
      </c>
      <c r="E51" s="229"/>
    </row>
    <row r="52" spans="1:8">
      <c r="A52" s="229" t="s">
        <v>653</v>
      </c>
      <c r="B52" s="87"/>
      <c r="C52" s="87"/>
      <c r="D52" s="87"/>
      <c r="E52" s="87"/>
      <c r="F52" s="87"/>
    </row>
    <row r="53" spans="1:8">
      <c r="A53" s="271" t="s">
        <v>304</v>
      </c>
      <c r="B53" s="87"/>
      <c r="C53" s="87"/>
      <c r="D53" s="87"/>
      <c r="E53" s="87"/>
      <c r="F53" s="87"/>
    </row>
    <row r="55" spans="1:8" ht="55.5" customHeight="1">
      <c r="A55" s="1268" t="s">
        <v>769</v>
      </c>
      <c r="B55" s="1268"/>
      <c r="C55" s="1268"/>
      <c r="D55" s="1268"/>
      <c r="E55" s="1268"/>
      <c r="F55" s="1268"/>
      <c r="G55" s="1268"/>
      <c r="H55" s="1268"/>
    </row>
    <row r="56" spans="1:8" ht="24.75" customHeight="1">
      <c r="A56" s="1268" t="s">
        <v>770</v>
      </c>
      <c r="B56" s="1268"/>
      <c r="C56" s="1268"/>
      <c r="D56" s="1268"/>
      <c r="E56" s="1268"/>
      <c r="F56" s="1268"/>
      <c r="G56" s="1268"/>
      <c r="H56" s="1268"/>
    </row>
    <row r="59" spans="1:8">
      <c r="A59" s="835" t="s">
        <v>771</v>
      </c>
      <c r="B59" s="836"/>
      <c r="C59" s="836"/>
      <c r="D59" s="836"/>
      <c r="E59" s="836"/>
      <c r="F59" s="836"/>
      <c r="G59" s="836"/>
    </row>
    <row r="60" spans="1:8">
      <c r="A60" s="836"/>
      <c r="B60" s="836"/>
      <c r="C60" s="836"/>
      <c r="D60" s="836"/>
      <c r="E60" s="836"/>
      <c r="F60" s="836"/>
      <c r="G60" s="836"/>
    </row>
    <row r="61" spans="1:8">
      <c r="A61" s="835" t="s">
        <v>772</v>
      </c>
      <c r="B61" s="836"/>
      <c r="C61" s="836"/>
      <c r="D61" s="836"/>
      <c r="E61" s="836"/>
      <c r="F61" s="836"/>
      <c r="G61" s="836"/>
    </row>
    <row r="62" spans="1:8">
      <c r="A62" s="836"/>
      <c r="B62" s="836"/>
      <c r="C62" s="836"/>
      <c r="D62" s="836"/>
      <c r="E62" s="836"/>
      <c r="F62" s="836"/>
      <c r="G62" s="836"/>
    </row>
    <row r="63" spans="1:8">
      <c r="A63" s="835" t="s">
        <v>773</v>
      </c>
      <c r="B63" s="836"/>
      <c r="C63" s="836"/>
      <c r="D63" s="836"/>
      <c r="E63" s="836"/>
      <c r="F63" s="836"/>
      <c r="G63" s="836"/>
    </row>
    <row r="64" spans="1:8">
      <c r="A64" s="836"/>
      <c r="B64" s="836"/>
      <c r="C64" s="836"/>
      <c r="D64" s="836"/>
      <c r="E64" s="836"/>
      <c r="F64" s="836"/>
      <c r="G64" s="836"/>
    </row>
  </sheetData>
  <mergeCells count="2">
    <mergeCell ref="A55:H55"/>
    <mergeCell ref="A56:H56"/>
  </mergeCells>
  <phoneticPr fontId="34" type="noConversion"/>
  <pageMargins left="0.78740157480314965" right="0.59055118110236227" top="0.67" bottom="0.67" header="0.51181102362204722" footer="0.51181102362204722"/>
  <pageSetup orientation="portrait" horizontalDpi="120" verticalDpi="144" r:id="rId1"/>
  <headerFooter alignWithMargins="0"/>
  <legacyDrawing r:id="rId2"/>
</worksheet>
</file>

<file path=xl/worksheets/sheet15.xml><?xml version="1.0" encoding="utf-8"?>
<worksheet xmlns="http://schemas.openxmlformats.org/spreadsheetml/2006/main" xmlns:r="http://schemas.openxmlformats.org/officeDocument/2006/relationships">
  <dimension ref="A1:F48"/>
  <sheetViews>
    <sheetView topLeftCell="A25" workbookViewId="0">
      <selection activeCell="B44" sqref="B44"/>
    </sheetView>
  </sheetViews>
  <sheetFormatPr baseColWidth="10" defaultRowHeight="12.75"/>
  <cols>
    <col min="1" max="1" width="29.85546875" customWidth="1"/>
    <col min="2" max="2" width="10.28515625" customWidth="1"/>
    <col min="3" max="3" width="10.7109375" customWidth="1"/>
    <col min="4" max="4" width="12.85546875" customWidth="1"/>
  </cols>
  <sheetData>
    <row r="1" spans="1:6" ht="15">
      <c r="A1" s="371" t="s">
        <v>398</v>
      </c>
    </row>
    <row r="2" spans="1:6" ht="13.5" thickBot="1">
      <c r="A2" s="2" t="s">
        <v>399</v>
      </c>
      <c r="D2" t="s">
        <v>9</v>
      </c>
      <c r="E2" t="s">
        <v>9</v>
      </c>
      <c r="F2" t="s">
        <v>9</v>
      </c>
    </row>
    <row r="3" spans="1:6" ht="13.5" thickBot="1">
      <c r="A3" s="2" t="s">
        <v>6</v>
      </c>
      <c r="D3" s="372" t="s">
        <v>400</v>
      </c>
      <c r="E3" s="373">
        <f>+'PREC marzo 2014'!E11</f>
        <v>985.47749999999996</v>
      </c>
      <c r="F3" s="374" t="s">
        <v>8</v>
      </c>
    </row>
    <row r="4" spans="1:6" ht="13.5" thickBot="1">
      <c r="A4" t="str">
        <f>lechug!A3</f>
        <v>Actualizado en la fecha :</v>
      </c>
      <c r="B4" s="383">
        <f>lechug!B3</f>
        <v>42143</v>
      </c>
      <c r="D4" s="46" t="s">
        <v>401</v>
      </c>
      <c r="E4" s="384">
        <f>+'PREC marzo 2014'!B4</f>
        <v>538.54999999999995</v>
      </c>
      <c r="F4" s="41" t="s">
        <v>8</v>
      </c>
    </row>
    <row r="5" spans="1:6">
      <c r="A5" s="550" t="s">
        <v>10</v>
      </c>
      <c r="B5" s="550" t="s">
        <v>11</v>
      </c>
      <c r="C5" s="550" t="s">
        <v>12</v>
      </c>
      <c r="D5" s="550" t="s">
        <v>13</v>
      </c>
      <c r="E5" s="550" t="s">
        <v>13</v>
      </c>
      <c r="F5" s="550" t="s">
        <v>14</v>
      </c>
    </row>
    <row r="6" spans="1:6">
      <c r="A6" s="553"/>
      <c r="B6" s="553"/>
      <c r="C6" s="553"/>
      <c r="D6" s="553" t="s">
        <v>15</v>
      </c>
      <c r="E6" s="553" t="s">
        <v>16</v>
      </c>
      <c r="F6" s="553" t="s">
        <v>17</v>
      </c>
    </row>
    <row r="7" spans="1:6" ht="13.5" thickBot="1">
      <c r="A7" s="554"/>
      <c r="B7" s="554"/>
      <c r="C7" s="554"/>
      <c r="D7" s="554" t="s">
        <v>18</v>
      </c>
      <c r="E7" s="554" t="s">
        <v>18</v>
      </c>
      <c r="F7" s="554"/>
    </row>
    <row r="8" spans="1:6">
      <c r="A8" s="64" t="s">
        <v>134</v>
      </c>
      <c r="B8" s="65"/>
      <c r="C8" s="65"/>
      <c r="D8" s="65"/>
      <c r="E8" s="65"/>
      <c r="F8" s="65"/>
    </row>
    <row r="9" spans="1:6">
      <c r="A9" s="3" t="s">
        <v>135</v>
      </c>
      <c r="B9" s="3"/>
      <c r="C9" s="3" t="s">
        <v>9</v>
      </c>
      <c r="D9" s="3"/>
      <c r="E9" s="3"/>
      <c r="F9" s="3"/>
    </row>
    <row r="10" spans="1:6">
      <c r="A10" s="4" t="s">
        <v>137</v>
      </c>
      <c r="B10" s="4" t="s">
        <v>402</v>
      </c>
      <c r="C10" s="4">
        <v>4</v>
      </c>
      <c r="D10" s="4">
        <f>+'PREC marzo 2014'!C7</f>
        <v>18000</v>
      </c>
      <c r="E10" s="36">
        <f>+D10*C10</f>
        <v>72000</v>
      </c>
      <c r="F10" s="19">
        <f>+E10/$E$41*100</f>
        <v>3.2525380419401477</v>
      </c>
    </row>
    <row r="11" spans="1:6">
      <c r="A11" s="4" t="s">
        <v>136</v>
      </c>
      <c r="B11" s="4" t="s">
        <v>402</v>
      </c>
      <c r="C11" s="4">
        <v>4</v>
      </c>
      <c r="D11" s="4">
        <f>+D10</f>
        <v>18000</v>
      </c>
      <c r="E11" s="36">
        <f>+D11*C11</f>
        <v>72000</v>
      </c>
      <c r="F11" s="19">
        <f>+E11/$E$41*100</f>
        <v>3.2525380419401477</v>
      </c>
    </row>
    <row r="12" spans="1:6">
      <c r="A12" t="s">
        <v>403</v>
      </c>
      <c r="B12" s="4" t="s">
        <v>404</v>
      </c>
      <c r="C12" s="4">
        <v>12</v>
      </c>
      <c r="D12" s="375">
        <f>'PREC marzo 2014'!E14</f>
        <v>1875</v>
      </c>
      <c r="E12" s="36">
        <f>+D12*C12</f>
        <v>22500</v>
      </c>
      <c r="F12" s="19">
        <f>+E12/$E$41*100</f>
        <v>1.0164181381062962</v>
      </c>
    </row>
    <row r="13" spans="1:6">
      <c r="A13" s="9" t="s">
        <v>140</v>
      </c>
      <c r="B13" s="20"/>
      <c r="C13" s="20"/>
      <c r="D13" s="20"/>
      <c r="E13" s="35">
        <f>SUM(E10:E12)</f>
        <v>166500</v>
      </c>
      <c r="F13" s="114">
        <f>+E13/$E$41*100</f>
        <v>7.5214942219865923</v>
      </c>
    </row>
    <row r="14" spans="1:6">
      <c r="A14" s="5" t="s">
        <v>167</v>
      </c>
      <c r="B14" s="4"/>
      <c r="C14" s="4"/>
      <c r="D14" s="4"/>
      <c r="E14" s="36" t="s">
        <v>9</v>
      </c>
      <c r="F14" s="19" t="s">
        <v>9</v>
      </c>
    </row>
    <row r="15" spans="1:6">
      <c r="A15" s="3" t="s">
        <v>405</v>
      </c>
      <c r="B15" s="4" t="s">
        <v>100</v>
      </c>
      <c r="C15" s="4">
        <v>100</v>
      </c>
      <c r="D15" s="375">
        <f>+$E$3</f>
        <v>985.47749999999996</v>
      </c>
      <c r="E15" s="36">
        <f t="shared" ref="E15:E23" si="0">+D15*C15</f>
        <v>98547.75</v>
      </c>
      <c r="F15" s="19">
        <f t="shared" ref="F15:F24" si="1">+E15/$E$41*100</f>
        <v>4.4518098030917672</v>
      </c>
    </row>
    <row r="16" spans="1:6">
      <c r="A16" s="4" t="s">
        <v>406</v>
      </c>
      <c r="B16" s="4" t="s">
        <v>100</v>
      </c>
      <c r="C16" s="375">
        <v>200</v>
      </c>
      <c r="D16" s="375">
        <f t="shared" ref="D16:D23" si="2">+$E$3</f>
        <v>985.47749999999996</v>
      </c>
      <c r="E16" s="36">
        <f>+D16*C16</f>
        <v>197095.5</v>
      </c>
      <c r="F16" s="19">
        <f>+E16/$E$41*100</f>
        <v>8.9036196061835344</v>
      </c>
    </row>
    <row r="17" spans="1:6">
      <c r="A17" s="3" t="s">
        <v>407</v>
      </c>
      <c r="B17" s="4" t="s">
        <v>100</v>
      </c>
      <c r="C17" s="4">
        <v>16</v>
      </c>
      <c r="D17" s="375">
        <f t="shared" si="2"/>
        <v>985.47749999999996</v>
      </c>
      <c r="E17" s="36">
        <f t="shared" si="0"/>
        <v>15767.64</v>
      </c>
      <c r="F17" s="19">
        <f t="shared" si="1"/>
        <v>0.71228956849468261</v>
      </c>
    </row>
    <row r="18" spans="1:6">
      <c r="A18" s="3" t="s">
        <v>148</v>
      </c>
      <c r="B18" s="4" t="s">
        <v>100</v>
      </c>
      <c r="C18" s="4">
        <v>40</v>
      </c>
      <c r="D18" s="375">
        <f t="shared" si="2"/>
        <v>985.47749999999996</v>
      </c>
      <c r="E18" s="36">
        <f t="shared" si="0"/>
        <v>39419.1</v>
      </c>
      <c r="F18" s="19">
        <f t="shared" si="1"/>
        <v>1.7807239212367068</v>
      </c>
    </row>
    <row r="19" spans="1:6">
      <c r="A19" s="3" t="s">
        <v>169</v>
      </c>
      <c r="B19" s="4" t="s">
        <v>100</v>
      </c>
      <c r="C19" s="4">
        <v>80</v>
      </c>
      <c r="D19" s="375">
        <f t="shared" si="2"/>
        <v>985.47749999999996</v>
      </c>
      <c r="E19" s="36">
        <f t="shared" si="0"/>
        <v>78838.2</v>
      </c>
      <c r="F19" s="19">
        <f t="shared" si="1"/>
        <v>3.5614478424734135</v>
      </c>
    </row>
    <row r="20" spans="1:6">
      <c r="A20" s="3" t="s">
        <v>209</v>
      </c>
      <c r="B20" s="4" t="s">
        <v>100</v>
      </c>
      <c r="C20" s="4">
        <v>85</v>
      </c>
      <c r="D20" s="375">
        <f t="shared" si="2"/>
        <v>985.47749999999996</v>
      </c>
      <c r="E20" s="36">
        <f t="shared" si="0"/>
        <v>83765.587499999994</v>
      </c>
      <c r="F20" s="19">
        <f t="shared" si="1"/>
        <v>3.7840383326280014</v>
      </c>
    </row>
    <row r="21" spans="1:6">
      <c r="A21" s="3" t="s">
        <v>408</v>
      </c>
      <c r="B21" s="4" t="s">
        <v>100</v>
      </c>
      <c r="C21" s="4">
        <v>600</v>
      </c>
      <c r="D21" s="375">
        <f t="shared" si="2"/>
        <v>985.47749999999996</v>
      </c>
      <c r="E21" s="36">
        <f t="shared" si="0"/>
        <v>591286.5</v>
      </c>
      <c r="F21" s="19">
        <f t="shared" si="1"/>
        <v>26.710858818550605</v>
      </c>
    </row>
    <row r="22" spans="1:6">
      <c r="A22" s="3" t="s">
        <v>409</v>
      </c>
      <c r="B22" s="4" t="s">
        <v>100</v>
      </c>
      <c r="C22" s="4">
        <v>8</v>
      </c>
      <c r="D22" s="375">
        <f t="shared" si="2"/>
        <v>985.47749999999996</v>
      </c>
      <c r="E22" s="36">
        <f t="shared" si="0"/>
        <v>7883.82</v>
      </c>
      <c r="F22" s="19">
        <f t="shared" si="1"/>
        <v>0.35614478424734131</v>
      </c>
    </row>
    <row r="23" spans="1:6">
      <c r="A23" s="3" t="s">
        <v>170</v>
      </c>
      <c r="B23" s="4" t="s">
        <v>100</v>
      </c>
      <c r="C23" s="4">
        <v>60</v>
      </c>
      <c r="D23" s="375">
        <f t="shared" si="2"/>
        <v>985.47749999999996</v>
      </c>
      <c r="E23" s="36">
        <f t="shared" si="0"/>
        <v>59128.649999999994</v>
      </c>
      <c r="F23" s="19">
        <f t="shared" si="1"/>
        <v>2.6710858818550598</v>
      </c>
    </row>
    <row r="24" spans="1:6">
      <c r="A24" s="3" t="s">
        <v>152</v>
      </c>
      <c r="B24" s="4" t="s">
        <v>100</v>
      </c>
      <c r="C24" s="375">
        <f>SUM(C15:C23)</f>
        <v>1189</v>
      </c>
      <c r="D24" s="375"/>
      <c r="E24" s="36">
        <f>SUM(E15:E23)</f>
        <v>1171732.7474999998</v>
      </c>
      <c r="F24" s="19">
        <f t="shared" si="1"/>
        <v>52.932018558761094</v>
      </c>
    </row>
    <row r="25" spans="1:6">
      <c r="A25" s="252" t="s">
        <v>722</v>
      </c>
      <c r="B25" s="253" t="s">
        <v>724</v>
      </c>
      <c r="C25" s="259" t="s">
        <v>9</v>
      </c>
      <c r="D25" s="259" t="s">
        <v>9</v>
      </c>
      <c r="E25" s="254">
        <f>'PREC marzo 2014'!C12*4*3</f>
        <v>94605.84</v>
      </c>
      <c r="F25" s="19">
        <f>E25/$E$41*100</f>
        <v>4.2737374109680957</v>
      </c>
    </row>
    <row r="26" spans="1:6">
      <c r="A26" s="9" t="s">
        <v>171</v>
      </c>
      <c r="B26" s="20"/>
      <c r="C26" s="20"/>
      <c r="D26" s="20"/>
      <c r="E26" s="35">
        <f>+E25+E24</f>
        <v>1266338.5874999999</v>
      </c>
      <c r="F26" s="22">
        <f>+F25+F24</f>
        <v>57.205755969729189</v>
      </c>
    </row>
    <row r="27" spans="1:6">
      <c r="A27" s="3"/>
      <c r="B27" s="4"/>
      <c r="C27" s="4"/>
      <c r="D27" s="4"/>
      <c r="E27" s="36" t="s">
        <v>9</v>
      </c>
      <c r="F27" s="19" t="s">
        <v>9</v>
      </c>
    </row>
    <row r="28" spans="1:6">
      <c r="A28" s="5" t="s">
        <v>410</v>
      </c>
      <c r="B28" s="4"/>
      <c r="C28" s="4" t="s">
        <v>9</v>
      </c>
      <c r="D28" s="4" t="s">
        <v>9</v>
      </c>
      <c r="E28" s="36" t="s">
        <v>9</v>
      </c>
      <c r="F28" s="19" t="s">
        <v>9</v>
      </c>
    </row>
    <row r="29" spans="1:6">
      <c r="A29" s="3" t="s">
        <v>411</v>
      </c>
      <c r="B29" s="4" t="s">
        <v>36</v>
      </c>
      <c r="C29" s="4">
        <v>56</v>
      </c>
      <c r="D29" s="4">
        <f>+'PREC marzo 2014'!C39</f>
        <v>4095</v>
      </c>
      <c r="E29" s="36">
        <f>+D29*C29</f>
        <v>229320</v>
      </c>
      <c r="F29" s="19">
        <f t="shared" ref="F29:F40" si="3">+E29/$E$41*100</f>
        <v>10.35933366357937</v>
      </c>
    </row>
    <row r="30" spans="1:6">
      <c r="A30" s="3" t="s">
        <v>173</v>
      </c>
      <c r="B30" s="4" t="s">
        <v>36</v>
      </c>
      <c r="C30" s="4">
        <v>800</v>
      </c>
      <c r="D30" s="375">
        <f>'PREC marzo 2014'!E69</f>
        <v>342.66666666666669</v>
      </c>
      <c r="E30" s="36">
        <f>+D30*C30</f>
        <v>274133.33333333337</v>
      </c>
      <c r="F30" s="19">
        <f t="shared" si="3"/>
        <v>12.383737433757306</v>
      </c>
    </row>
    <row r="31" spans="1:6">
      <c r="A31" s="3" t="s">
        <v>412</v>
      </c>
      <c r="B31" s="4" t="s">
        <v>36</v>
      </c>
      <c r="C31" s="4">
        <v>500</v>
      </c>
      <c r="D31" s="375">
        <f>+'PREC marzo 2014'!E84</f>
        <v>209.78260869565219</v>
      </c>
      <c r="E31" s="36">
        <f t="shared" ref="E31:E36" si="4">+D31*C31</f>
        <v>104891.3043478261</v>
      </c>
      <c r="F31" s="19">
        <f t="shared" si="3"/>
        <v>4.738374411944811</v>
      </c>
    </row>
    <row r="32" spans="1:6">
      <c r="A32" s="875" t="s">
        <v>1078</v>
      </c>
      <c r="B32" s="4" t="s">
        <v>38</v>
      </c>
      <c r="C32" s="4">
        <v>1</v>
      </c>
      <c r="D32" s="4">
        <f>'PREC marzo 2014'!E192</f>
        <v>10818</v>
      </c>
      <c r="E32" s="36">
        <f t="shared" si="4"/>
        <v>10818</v>
      </c>
      <c r="F32" s="19">
        <f t="shared" si="3"/>
        <v>0.48869384080150718</v>
      </c>
    </row>
    <row r="33" spans="1:6">
      <c r="A33" s="3" t="s">
        <v>413</v>
      </c>
      <c r="B33" s="4" t="s">
        <v>283</v>
      </c>
      <c r="C33" s="4">
        <v>1</v>
      </c>
      <c r="D33" s="375">
        <f>+'PREC marzo 2014'!C206</f>
        <v>28098</v>
      </c>
      <c r="E33" s="36">
        <f t="shared" si="4"/>
        <v>28098</v>
      </c>
      <c r="F33" s="19">
        <f t="shared" si="3"/>
        <v>1.2693029708671426</v>
      </c>
    </row>
    <row r="34" spans="1:6">
      <c r="A34" s="3" t="s">
        <v>414</v>
      </c>
      <c r="B34" s="4" t="s">
        <v>36</v>
      </c>
      <c r="C34" s="4">
        <v>1</v>
      </c>
      <c r="D34" s="4">
        <f>'PREC marzo 2014'!E216</f>
        <v>14000</v>
      </c>
      <c r="E34" s="36">
        <f t="shared" si="4"/>
        <v>14000</v>
      </c>
      <c r="F34" s="19">
        <f t="shared" si="3"/>
        <v>0.63243795259947322</v>
      </c>
    </row>
    <row r="35" spans="1:6">
      <c r="A35" s="12" t="s">
        <v>1171</v>
      </c>
      <c r="B35" s="4" t="s">
        <v>36</v>
      </c>
      <c r="C35" s="4">
        <v>2</v>
      </c>
      <c r="D35" s="375">
        <f>+'PREC marzo 2014'!E162</f>
        <v>4533.333333333333</v>
      </c>
      <c r="E35" s="36">
        <f t="shared" si="4"/>
        <v>9066.6666666666661</v>
      </c>
      <c r="F35" s="19">
        <f t="shared" si="3"/>
        <v>0.40957886454061115</v>
      </c>
    </row>
    <row r="36" spans="1:6">
      <c r="A36" s="3" t="s">
        <v>415</v>
      </c>
      <c r="B36" s="4" t="s">
        <v>36</v>
      </c>
      <c r="C36" s="4">
        <v>1.5</v>
      </c>
      <c r="D36" s="375">
        <f>+'PREC marzo 2014'!E126</f>
        <v>3660</v>
      </c>
      <c r="E36" s="36">
        <f t="shared" si="4"/>
        <v>5490</v>
      </c>
      <c r="F36" s="19">
        <f t="shared" si="3"/>
        <v>0.24800602569793628</v>
      </c>
    </row>
    <row r="37" spans="1:6" ht="13.5" thickBot="1">
      <c r="A37" s="10" t="s">
        <v>174</v>
      </c>
      <c r="B37" s="27"/>
      <c r="C37" s="27"/>
      <c r="D37" s="27"/>
      <c r="E37" s="34">
        <f>SUM(E29:E36)</f>
        <v>675817.30434782605</v>
      </c>
      <c r="F37" s="376">
        <f>SUM(F29:F36)</f>
        <v>30.529465163788153</v>
      </c>
    </row>
    <row r="38" spans="1:6" ht="14.25" thickTop="1" thickBot="1">
      <c r="A38" s="101" t="s">
        <v>66</v>
      </c>
      <c r="B38" s="377"/>
      <c r="C38" s="377"/>
      <c r="D38" s="377"/>
      <c r="E38" s="378"/>
      <c r="F38" s="379"/>
    </row>
    <row r="39" spans="1:6" ht="14.25" thickTop="1" thickBot="1">
      <c r="A39" s="380" t="s">
        <v>416</v>
      </c>
      <c r="B39" s="377"/>
      <c r="C39" s="377" t="s">
        <v>9</v>
      </c>
      <c r="D39" s="377" t="s">
        <v>9</v>
      </c>
      <c r="E39" s="381">
        <v>45000</v>
      </c>
      <c r="F39" s="382">
        <f t="shared" si="3"/>
        <v>2.0328362762125924</v>
      </c>
    </row>
    <row r="40" spans="1:6" ht="14.25" thickTop="1" thickBot="1">
      <c r="A40" s="380" t="s">
        <v>417</v>
      </c>
      <c r="B40" s="377"/>
      <c r="C40" s="4"/>
      <c r="D40" s="4"/>
      <c r="E40" s="36">
        <v>60000</v>
      </c>
      <c r="F40" s="19">
        <f t="shared" si="3"/>
        <v>2.7104483682834566</v>
      </c>
    </row>
    <row r="41" spans="1:6" ht="13.5" thickTop="1">
      <c r="A41" s="581" t="s">
        <v>300</v>
      </c>
      <c r="B41" s="582"/>
      <c r="C41" s="582"/>
      <c r="D41" s="582"/>
      <c r="E41" s="583">
        <f>+E37+E26+E13+E39+E40</f>
        <v>2213655.8918478261</v>
      </c>
      <c r="F41" s="584">
        <f>+F37+F26+F13+F39+F40</f>
        <v>99.999999999999972</v>
      </c>
    </row>
    <row r="42" spans="1:6" ht="13.5" thickBot="1">
      <c r="A42" s="714" t="s">
        <v>418</v>
      </c>
      <c r="B42" s="585"/>
      <c r="C42" s="585"/>
      <c r="D42" s="585"/>
      <c r="E42" s="586">
        <f>+E41/E4</f>
        <v>4110.3999477259795</v>
      </c>
      <c r="F42" s="715"/>
    </row>
    <row r="43" spans="1:6" ht="13.5" thickTop="1"/>
    <row r="44" spans="1:6">
      <c r="A44" s="1019" t="str">
        <f>remolacha!A47</f>
        <v>Precio finca mayo 2015</v>
      </c>
      <c r="B44" s="434">
        <f>resumen!F15</f>
        <v>70</v>
      </c>
      <c r="C44" s="434" t="s">
        <v>421</v>
      </c>
      <c r="E44" s="1044" t="s">
        <v>1133</v>
      </c>
      <c r="F44" s="1045">
        <f>B44/E45</f>
        <v>4.7432846444960495</v>
      </c>
    </row>
    <row r="45" spans="1:6" ht="16.5" thickBot="1">
      <c r="A45" s="1006" t="s">
        <v>419</v>
      </c>
      <c r="B45" s="987">
        <v>150000</v>
      </c>
      <c r="C45" s="47" t="s">
        <v>420</v>
      </c>
      <c r="D45" s="62" t="s">
        <v>643</v>
      </c>
      <c r="E45" s="1046">
        <f>+E41/B45</f>
        <v>14.757705945652173</v>
      </c>
      <c r="F45" s="62" t="s">
        <v>421</v>
      </c>
    </row>
    <row r="46" spans="1:6">
      <c r="A46" t="s">
        <v>809</v>
      </c>
    </row>
    <row r="47" spans="1:6">
      <c r="A47" s="229" t="s">
        <v>653</v>
      </c>
    </row>
    <row r="48" spans="1:6">
      <c r="A48" t="s">
        <v>422</v>
      </c>
    </row>
  </sheetData>
  <phoneticPr fontId="34" type="noConversion"/>
  <pageMargins left="0.78740157480314965" right="0.19685039370078741" top="0.59055118110236227" bottom="0.78740157480314965" header="0" footer="0"/>
  <pageSetup orientation="portrait" horizontalDpi="120" verticalDpi="144" r:id="rId1"/>
  <headerFooter alignWithMargins="0"/>
  <legacyDrawing r:id="rId2"/>
</worksheet>
</file>

<file path=xl/worksheets/sheet16.xml><?xml version="1.0" encoding="utf-8"?>
<worksheet xmlns="http://schemas.openxmlformats.org/spreadsheetml/2006/main" xmlns:r="http://schemas.openxmlformats.org/officeDocument/2006/relationships">
  <dimension ref="A1:F78"/>
  <sheetViews>
    <sheetView topLeftCell="A42" workbookViewId="0">
      <selection activeCell="B64" sqref="B64"/>
    </sheetView>
  </sheetViews>
  <sheetFormatPr baseColWidth="10" defaultRowHeight="12.75"/>
  <cols>
    <col min="1" max="1" width="25.28515625" customWidth="1"/>
    <col min="2" max="2" width="11.140625" customWidth="1"/>
    <col min="3" max="3" width="10.42578125" customWidth="1"/>
    <col min="4" max="4" width="9" customWidth="1"/>
    <col min="5" max="5" width="12" customWidth="1"/>
    <col min="6" max="6" width="11.7109375" customWidth="1"/>
  </cols>
  <sheetData>
    <row r="1" spans="1:6" ht="13.5" thickBot="1">
      <c r="A1" s="641" t="s">
        <v>423</v>
      </c>
      <c r="B1" s="642"/>
      <c r="C1" s="643"/>
      <c r="D1" s="87"/>
      <c r="E1" s="87"/>
      <c r="F1" s="87"/>
    </row>
    <row r="2" spans="1:6">
      <c r="A2" s="644" t="s">
        <v>424</v>
      </c>
      <c r="B2" s="645"/>
      <c r="C2" s="646"/>
      <c r="D2" s="87"/>
      <c r="E2" s="355" t="s">
        <v>165</v>
      </c>
      <c r="F2" s="647">
        <f>+'PREC marzo 2014'!E11</f>
        <v>985.47749999999996</v>
      </c>
    </row>
    <row r="3" spans="1:6" ht="13.5" thickBot="1">
      <c r="A3" s="648" t="str">
        <f>'PREC marzo 2014'!A3</f>
        <v>FECHA :</v>
      </c>
      <c r="B3" s="1262">
        <f>'PREC marzo 2014'!B3</f>
        <v>42143</v>
      </c>
      <c r="C3" s="1263" t="s">
        <v>9</v>
      </c>
      <c r="D3" s="87"/>
      <c r="E3" s="356" t="s">
        <v>286</v>
      </c>
      <c r="F3" s="649">
        <f>+'PREC marzo 2014'!B4</f>
        <v>538.54999999999995</v>
      </c>
    </row>
    <row r="4" spans="1:6">
      <c r="A4" s="532"/>
      <c r="B4" s="587"/>
      <c r="C4" s="531" t="s">
        <v>9</v>
      </c>
      <c r="D4" s="588" t="s">
        <v>194</v>
      </c>
      <c r="E4" s="588" t="s">
        <v>13</v>
      </c>
      <c r="F4" s="589" t="s">
        <v>195</v>
      </c>
    </row>
    <row r="5" spans="1:6">
      <c r="A5" s="530" t="s">
        <v>95</v>
      </c>
      <c r="B5" s="528" t="s">
        <v>197</v>
      </c>
      <c r="C5" s="528" t="s">
        <v>198</v>
      </c>
      <c r="D5" s="528" t="s">
        <v>11</v>
      </c>
      <c r="E5" s="528" t="s">
        <v>16</v>
      </c>
      <c r="F5" s="590"/>
    </row>
    <row r="6" spans="1:6" ht="13.5" thickBot="1">
      <c r="A6" s="530" t="s">
        <v>9</v>
      </c>
      <c r="B6" s="533"/>
      <c r="C6" s="533"/>
      <c r="D6" s="531" t="s">
        <v>9</v>
      </c>
      <c r="E6" s="528" t="s">
        <v>200</v>
      </c>
      <c r="F6" s="529" t="s">
        <v>82</v>
      </c>
    </row>
    <row r="7" spans="1:6" ht="13.5" thickTop="1">
      <c r="A7" s="234" t="s">
        <v>425</v>
      </c>
      <c r="B7" s="235"/>
      <c r="C7" s="235"/>
      <c r="D7" s="235"/>
      <c r="E7" s="236" t="s">
        <v>9</v>
      </c>
      <c r="F7" s="237"/>
    </row>
    <row r="8" spans="1:6">
      <c r="A8" s="238" t="s">
        <v>202</v>
      </c>
      <c r="B8" s="239"/>
      <c r="C8" s="239"/>
      <c r="D8" s="239"/>
      <c r="E8" s="240" t="s">
        <v>9</v>
      </c>
      <c r="F8" s="241"/>
    </row>
    <row r="9" spans="1:6">
      <c r="A9" s="238" t="s">
        <v>203</v>
      </c>
      <c r="B9" s="240" t="s">
        <v>204</v>
      </c>
      <c r="C9" s="242">
        <v>4</v>
      </c>
      <c r="D9" s="243">
        <f>+'PREC marzo 2014'!C7</f>
        <v>18000</v>
      </c>
      <c r="E9" s="385">
        <f>C9*D9</f>
        <v>72000</v>
      </c>
      <c r="F9" s="244">
        <f>E9/$E$55*100</f>
        <v>0.83280023001757275</v>
      </c>
    </row>
    <row r="10" spans="1:6">
      <c r="A10" s="238" t="s">
        <v>136</v>
      </c>
      <c r="B10" s="240" t="s">
        <v>204</v>
      </c>
      <c r="C10" s="242">
        <v>4</v>
      </c>
      <c r="D10" s="243">
        <f>+D9</f>
        <v>18000</v>
      </c>
      <c r="E10" s="385">
        <f>C10*D10</f>
        <v>72000</v>
      </c>
      <c r="F10" s="244">
        <f>E10/$E$55*100</f>
        <v>0.83280023001757275</v>
      </c>
    </row>
    <row r="11" spans="1:6" ht="13.5" thickBot="1">
      <c r="A11" s="238" t="s">
        <v>205</v>
      </c>
      <c r="B11" s="240" t="s">
        <v>206</v>
      </c>
      <c r="C11" s="242">
        <v>12</v>
      </c>
      <c r="D11" s="243">
        <f>+'PREC marzo 2014'!C13</f>
        <v>15000</v>
      </c>
      <c r="E11" s="385">
        <f>C11*D11</f>
        <v>180000</v>
      </c>
      <c r="F11" s="244">
        <f>E11/$E$55*100</f>
        <v>2.0820005750439319</v>
      </c>
    </row>
    <row r="12" spans="1:6" ht="13.5" thickBot="1">
      <c r="A12" s="386" t="s">
        <v>140</v>
      </c>
      <c r="B12" s="387"/>
      <c r="C12" s="387"/>
      <c r="D12" s="387"/>
      <c r="E12" s="388">
        <f>SUM(E9:E11)</f>
        <v>324000</v>
      </c>
      <c r="F12" s="389">
        <f>E12/$E$55*100</f>
        <v>3.7476010350790774</v>
      </c>
    </row>
    <row r="13" spans="1:6">
      <c r="A13" s="248" t="s">
        <v>426</v>
      </c>
      <c r="B13" s="258"/>
      <c r="C13" s="239"/>
      <c r="D13" s="249" t="s">
        <v>9</v>
      </c>
      <c r="E13" s="390"/>
      <c r="F13" s="241"/>
    </row>
    <row r="14" spans="1:6">
      <c r="A14" s="248" t="s">
        <v>427</v>
      </c>
      <c r="B14" s="258"/>
      <c r="C14" s="239"/>
      <c r="D14" s="258"/>
      <c r="E14" s="390"/>
      <c r="F14" s="241"/>
    </row>
    <row r="15" spans="1:6">
      <c r="A15" s="238" t="s">
        <v>235</v>
      </c>
      <c r="B15" s="240" t="s">
        <v>23</v>
      </c>
      <c r="C15" s="243">
        <v>176</v>
      </c>
      <c r="D15" s="243">
        <f t="shared" ref="D15:D22" si="0">+$F$2</f>
        <v>985.47749999999996</v>
      </c>
      <c r="E15" s="385">
        <f t="shared" ref="E15:E22" si="1">C15*D15</f>
        <v>173444.03999999998</v>
      </c>
      <c r="F15" s="244">
        <f t="shared" ref="F15:F25" si="2">E15/$E$55*100</f>
        <v>2.0061699500996815</v>
      </c>
    </row>
    <row r="16" spans="1:6">
      <c r="A16" s="238" t="s">
        <v>208</v>
      </c>
      <c r="B16" s="240" t="s">
        <v>23</v>
      </c>
      <c r="C16" s="243">
        <v>280</v>
      </c>
      <c r="D16" s="243">
        <f t="shared" si="0"/>
        <v>985.47749999999996</v>
      </c>
      <c r="E16" s="385">
        <f t="shared" si="1"/>
        <v>275933.7</v>
      </c>
      <c r="F16" s="244">
        <f t="shared" si="2"/>
        <v>3.1916340115222215</v>
      </c>
    </row>
    <row r="17" spans="1:6">
      <c r="A17" s="238" t="s">
        <v>293</v>
      </c>
      <c r="B17" s="240" t="s">
        <v>23</v>
      </c>
      <c r="C17" s="243">
        <v>24</v>
      </c>
      <c r="D17" s="243">
        <f t="shared" si="0"/>
        <v>985.47749999999996</v>
      </c>
      <c r="E17" s="385">
        <f t="shared" si="1"/>
        <v>23651.46</v>
      </c>
      <c r="F17" s="244">
        <f t="shared" si="2"/>
        <v>0.27356862955904754</v>
      </c>
    </row>
    <row r="18" spans="1:6">
      <c r="A18" s="238" t="s">
        <v>169</v>
      </c>
      <c r="B18" s="240" t="s">
        <v>23</v>
      </c>
      <c r="C18" s="243">
        <v>200</v>
      </c>
      <c r="D18" s="243">
        <f t="shared" si="0"/>
        <v>985.47749999999996</v>
      </c>
      <c r="E18" s="385">
        <f t="shared" si="1"/>
        <v>197095.5</v>
      </c>
      <c r="F18" s="244">
        <f t="shared" si="2"/>
        <v>2.2797385796587295</v>
      </c>
    </row>
    <row r="19" spans="1:6">
      <c r="A19" s="238" t="s">
        <v>148</v>
      </c>
      <c r="B19" s="240" t="s">
        <v>23</v>
      </c>
      <c r="C19" s="243">
        <v>56</v>
      </c>
      <c r="D19" s="243">
        <f t="shared" si="0"/>
        <v>985.47749999999996</v>
      </c>
      <c r="E19" s="385">
        <f t="shared" si="1"/>
        <v>55186.74</v>
      </c>
      <c r="F19" s="244">
        <f t="shared" si="2"/>
        <v>0.63832680230444427</v>
      </c>
    </row>
    <row r="20" spans="1:6">
      <c r="A20" s="238" t="s">
        <v>209</v>
      </c>
      <c r="B20" s="240" t="s">
        <v>23</v>
      </c>
      <c r="C20" s="243">
        <v>280</v>
      </c>
      <c r="D20" s="243">
        <f t="shared" si="0"/>
        <v>985.47749999999996</v>
      </c>
      <c r="E20" s="385">
        <f t="shared" si="1"/>
        <v>275933.7</v>
      </c>
      <c r="F20" s="244">
        <f t="shared" si="2"/>
        <v>3.1916340115222215</v>
      </c>
    </row>
    <row r="21" spans="1:6">
      <c r="A21" s="238" t="s">
        <v>210</v>
      </c>
      <c r="B21" s="240" t="s">
        <v>23</v>
      </c>
      <c r="C21" s="243">
        <v>400</v>
      </c>
      <c r="D21" s="243">
        <f t="shared" si="0"/>
        <v>985.47749999999996</v>
      </c>
      <c r="E21" s="385">
        <f t="shared" si="1"/>
        <v>394191</v>
      </c>
      <c r="F21" s="244">
        <f t="shared" si="2"/>
        <v>4.559477159317459</v>
      </c>
    </row>
    <row r="22" spans="1:6">
      <c r="A22" s="238" t="s">
        <v>138</v>
      </c>
      <c r="B22" s="240" t="s">
        <v>23</v>
      </c>
      <c r="C22" s="243">
        <v>304</v>
      </c>
      <c r="D22" s="243">
        <f t="shared" si="0"/>
        <v>985.47749999999996</v>
      </c>
      <c r="E22" s="385">
        <f t="shared" si="1"/>
        <v>299585.15999999997</v>
      </c>
      <c r="F22" s="244">
        <f t="shared" si="2"/>
        <v>3.4652026410812686</v>
      </c>
    </row>
    <row r="23" spans="1:6">
      <c r="A23" s="252" t="s">
        <v>153</v>
      </c>
      <c r="B23" s="253" t="s">
        <v>23</v>
      </c>
      <c r="C23" s="254">
        <f>SUM(C15:C22)</f>
        <v>1720</v>
      </c>
      <c r="D23" s="255"/>
      <c r="E23" s="391">
        <f>SUM(E15:E22)</f>
        <v>1695021.2999999998</v>
      </c>
      <c r="F23" s="256">
        <f t="shared" si="2"/>
        <v>19.60575178506507</v>
      </c>
    </row>
    <row r="24" spans="1:6" ht="13.5" thickBot="1">
      <c r="A24" s="252" t="s">
        <v>722</v>
      </c>
      <c r="B24" s="253" t="s">
        <v>724</v>
      </c>
      <c r="C24" s="259" t="s">
        <v>9</v>
      </c>
      <c r="D24" s="259" t="s">
        <v>9</v>
      </c>
      <c r="E24" s="254">
        <f>'PREC marzo 2014'!C11*4*3</f>
        <v>94605.84</v>
      </c>
      <c r="F24" s="244">
        <f>E24/$E$41*100</f>
        <v>231.87705882352941</v>
      </c>
    </row>
    <row r="25" spans="1:6" ht="14.25" thickTop="1" thickBot="1">
      <c r="A25" s="392" t="s">
        <v>153</v>
      </c>
      <c r="B25" s="393"/>
      <c r="C25" s="393"/>
      <c r="D25" s="393"/>
      <c r="E25" s="394">
        <f>+E24+E23</f>
        <v>1789627.14</v>
      </c>
      <c r="F25" s="395">
        <f t="shared" si="2"/>
        <v>20.700026303301261</v>
      </c>
    </row>
    <row r="26" spans="1:6">
      <c r="A26" s="264" t="s">
        <v>154</v>
      </c>
      <c r="B26" s="265"/>
      <c r="C26" s="265"/>
      <c r="D26" s="265"/>
      <c r="E26" s="396"/>
      <c r="F26" s="266" t="s">
        <v>9</v>
      </c>
    </row>
    <row r="27" spans="1:6">
      <c r="A27" s="238" t="s">
        <v>428</v>
      </c>
      <c r="B27" s="240" t="s">
        <v>36</v>
      </c>
      <c r="C27" s="243">
        <v>3333</v>
      </c>
      <c r="D27" s="274">
        <f>'PREC marzo 2014'!E65</f>
        <v>388.99333333333334</v>
      </c>
      <c r="E27" s="274">
        <f t="shared" ref="E27:E49" si="3">C27*D27</f>
        <v>1296514.78</v>
      </c>
      <c r="F27" s="244">
        <f t="shared" ref="F27:F50" si="4">E27/$E$55*100</f>
        <v>14.99635843062754</v>
      </c>
    </row>
    <row r="28" spans="1:6">
      <c r="A28" s="238" t="s">
        <v>429</v>
      </c>
      <c r="B28" s="240" t="s">
        <v>36</v>
      </c>
      <c r="C28" s="243">
        <v>2500</v>
      </c>
      <c r="D28" s="274">
        <f>'PREC marzo 2014'!E70</f>
        <v>264.94799999999998</v>
      </c>
      <c r="E28" s="274">
        <f t="shared" si="3"/>
        <v>662370</v>
      </c>
      <c r="F28" s="244">
        <f t="shared" si="4"/>
        <v>7.6614151160658297</v>
      </c>
    </row>
    <row r="29" spans="1:6">
      <c r="A29" s="238" t="s">
        <v>430</v>
      </c>
      <c r="B29" s="240" t="s">
        <v>36</v>
      </c>
      <c r="C29" s="243">
        <v>2500</v>
      </c>
      <c r="D29" s="274">
        <f>'PREC marzo 2014'!E78</f>
        <v>426.66666666666669</v>
      </c>
      <c r="E29" s="274">
        <f t="shared" si="3"/>
        <v>1066666.6666666667</v>
      </c>
      <c r="F29" s="244">
        <f t="shared" si="4"/>
        <v>12.337781185445525</v>
      </c>
    </row>
    <row r="30" spans="1:6">
      <c r="A30" s="238" t="s">
        <v>431</v>
      </c>
      <c r="B30" s="240" t="s">
        <v>36</v>
      </c>
      <c r="C30" s="243">
        <v>3333</v>
      </c>
      <c r="D30" s="274">
        <f>'PREC marzo 2014'!E78</f>
        <v>426.66666666666669</v>
      </c>
      <c r="E30" s="274">
        <f t="shared" si="3"/>
        <v>1422080</v>
      </c>
      <c r="F30" s="244">
        <f t="shared" si="4"/>
        <v>16.448729876435973</v>
      </c>
    </row>
    <row r="31" spans="1:6">
      <c r="A31" s="238" t="s">
        <v>432</v>
      </c>
      <c r="B31" s="240" t="s">
        <v>126</v>
      </c>
      <c r="C31" s="274">
        <v>100000</v>
      </c>
      <c r="D31" s="274">
        <f>+'PREC marzo 2014'!E34</f>
        <v>15</v>
      </c>
      <c r="E31" s="274">
        <f t="shared" si="3"/>
        <v>1500000</v>
      </c>
      <c r="F31" s="244">
        <f t="shared" si="4"/>
        <v>17.350004792032767</v>
      </c>
    </row>
    <row r="32" spans="1:6">
      <c r="A32" s="238" t="s">
        <v>255</v>
      </c>
      <c r="B32" s="240" t="s">
        <v>38</v>
      </c>
      <c r="C32" s="242">
        <v>1.4</v>
      </c>
      <c r="D32" s="274">
        <f>'PREC marzo 2014'!E186</f>
        <v>32000</v>
      </c>
      <c r="E32" s="274">
        <f t="shared" si="3"/>
        <v>44800</v>
      </c>
      <c r="F32" s="244">
        <f t="shared" si="4"/>
        <v>0.5181868097887119</v>
      </c>
    </row>
    <row r="33" spans="1:6">
      <c r="A33" s="257" t="s">
        <v>1079</v>
      </c>
      <c r="B33" s="240" t="s">
        <v>38</v>
      </c>
      <c r="C33" s="243">
        <v>2</v>
      </c>
      <c r="D33" s="274">
        <f>'PREC marzo 2014'!E207</f>
        <v>5756</v>
      </c>
      <c r="E33" s="274">
        <f t="shared" si="3"/>
        <v>11512</v>
      </c>
      <c r="F33" s="244">
        <f t="shared" si="4"/>
        <v>0.1331555034439208</v>
      </c>
    </row>
    <row r="34" spans="1:6">
      <c r="A34" s="257" t="s">
        <v>294</v>
      </c>
      <c r="B34" s="240" t="s">
        <v>36</v>
      </c>
      <c r="C34" s="243">
        <v>10</v>
      </c>
      <c r="D34" s="274">
        <f>+'PREC marzo 2014'!E197</f>
        <v>3379.0666666666666</v>
      </c>
      <c r="E34" s="274">
        <f t="shared" si="3"/>
        <v>33790.666666666664</v>
      </c>
      <c r="F34" s="244">
        <f t="shared" si="4"/>
        <v>0.39084548572843231</v>
      </c>
    </row>
    <row r="35" spans="1:6">
      <c r="A35" s="257" t="s">
        <v>256</v>
      </c>
      <c r="B35" s="240" t="s">
        <v>38</v>
      </c>
      <c r="C35" s="242">
        <v>0.5</v>
      </c>
      <c r="D35" s="274">
        <f>'PREC marzo 2014'!E211</f>
        <v>97000</v>
      </c>
      <c r="E35" s="274">
        <f t="shared" si="3"/>
        <v>48500</v>
      </c>
      <c r="F35" s="244">
        <f t="shared" si="4"/>
        <v>0.56098348827572619</v>
      </c>
    </row>
    <row r="36" spans="1:6">
      <c r="A36" s="257" t="s">
        <v>127</v>
      </c>
      <c r="B36" s="240" t="s">
        <v>36</v>
      </c>
      <c r="C36" s="243">
        <v>3</v>
      </c>
      <c r="D36" s="274">
        <f>+'PREC marzo 2014'!E200</f>
        <v>20384</v>
      </c>
      <c r="E36" s="274">
        <f t="shared" si="3"/>
        <v>61152</v>
      </c>
      <c r="F36" s="244">
        <f t="shared" si="4"/>
        <v>0.70732499536159177</v>
      </c>
    </row>
    <row r="37" spans="1:6">
      <c r="A37" s="238" t="s">
        <v>290</v>
      </c>
      <c r="B37" s="240" t="s">
        <v>36</v>
      </c>
      <c r="C37" s="243">
        <v>8</v>
      </c>
      <c r="D37" s="274">
        <f>'PREC marzo 2014'!E142</f>
        <v>6816</v>
      </c>
      <c r="E37" s="274">
        <f t="shared" si="3"/>
        <v>54528</v>
      </c>
      <c r="F37" s="244">
        <f t="shared" si="4"/>
        <v>0.63070737419997513</v>
      </c>
    </row>
    <row r="38" spans="1:6">
      <c r="A38" s="257" t="s">
        <v>117</v>
      </c>
      <c r="B38" s="240" t="s">
        <v>36</v>
      </c>
      <c r="C38" s="243">
        <v>8</v>
      </c>
      <c r="D38" s="274">
        <f>'PREC marzo 2014'!E155</f>
        <v>17252</v>
      </c>
      <c r="E38" s="274">
        <f t="shared" si="3"/>
        <v>138016</v>
      </c>
      <c r="F38" s="244">
        <f t="shared" si="4"/>
        <v>1.5963855075847961</v>
      </c>
    </row>
    <row r="39" spans="1:6">
      <c r="A39" s="257" t="s">
        <v>270</v>
      </c>
      <c r="B39" s="240" t="s">
        <v>36</v>
      </c>
      <c r="C39" s="242">
        <v>1.5</v>
      </c>
      <c r="D39" s="274">
        <f>'PREC marzo 2014'!E173</f>
        <v>5000</v>
      </c>
      <c r="E39" s="274">
        <f t="shared" si="3"/>
        <v>7500</v>
      </c>
      <c r="F39" s="244">
        <f t="shared" si="4"/>
        <v>8.6750023960163833E-2</v>
      </c>
    </row>
    <row r="40" spans="1:6">
      <c r="A40" s="257" t="s">
        <v>276</v>
      </c>
      <c r="B40" s="240" t="s">
        <v>36</v>
      </c>
      <c r="C40" s="242">
        <v>1.5</v>
      </c>
      <c r="D40" s="274">
        <f>'PREC marzo 2014'!E181</f>
        <v>7233</v>
      </c>
      <c r="E40" s="274">
        <f t="shared" si="3"/>
        <v>10849.5</v>
      </c>
      <c r="F40" s="244">
        <f t="shared" si="4"/>
        <v>0.12549258466077298</v>
      </c>
    </row>
    <row r="41" spans="1:6">
      <c r="A41" s="257" t="s">
        <v>1099</v>
      </c>
      <c r="B41" s="240" t="s">
        <v>36</v>
      </c>
      <c r="C41" s="243">
        <v>4</v>
      </c>
      <c r="D41" s="274">
        <f>'PREC marzo 2014'!E144</f>
        <v>10200</v>
      </c>
      <c r="E41" s="274">
        <f t="shared" si="3"/>
        <v>40800</v>
      </c>
      <c r="F41" s="244">
        <f t="shared" si="4"/>
        <v>0.47192013034329128</v>
      </c>
    </row>
    <row r="42" spans="1:6">
      <c r="A42" s="257" t="s">
        <v>118</v>
      </c>
      <c r="B42" s="240" t="s">
        <v>36</v>
      </c>
      <c r="C42" s="243">
        <v>10</v>
      </c>
      <c r="D42" s="274">
        <f>+'PREC marzo 2014'!E157</f>
        <v>11174</v>
      </c>
      <c r="E42" s="274">
        <f t="shared" si="3"/>
        <v>111740</v>
      </c>
      <c r="F42" s="244">
        <f t="shared" si="4"/>
        <v>1.2924596903078276</v>
      </c>
    </row>
    <row r="43" spans="1:6">
      <c r="A43" s="238" t="s">
        <v>295</v>
      </c>
      <c r="B43" s="240" t="s">
        <v>38</v>
      </c>
      <c r="C43" s="243">
        <v>1</v>
      </c>
      <c r="D43" s="274">
        <f>+'PREC marzo 2014'!E109</f>
        <v>3011</v>
      </c>
      <c r="E43" s="274">
        <f t="shared" si="3"/>
        <v>3011</v>
      </c>
      <c r="F43" s="244">
        <f t="shared" si="4"/>
        <v>3.4827242952540437E-2</v>
      </c>
    </row>
    <row r="44" spans="1:6">
      <c r="A44" s="257" t="s">
        <v>296</v>
      </c>
      <c r="B44" s="240" t="s">
        <v>38</v>
      </c>
      <c r="C44" s="243">
        <v>5</v>
      </c>
      <c r="D44" s="274">
        <f>'PREC marzo 2014'!E124</f>
        <v>2700</v>
      </c>
      <c r="E44" s="274">
        <f t="shared" si="3"/>
        <v>13500</v>
      </c>
      <c r="F44" s="244">
        <f t="shared" si="4"/>
        <v>0.15615004312829489</v>
      </c>
    </row>
    <row r="45" spans="1:6">
      <c r="A45" s="257" t="s">
        <v>112</v>
      </c>
      <c r="B45" s="240" t="s">
        <v>38</v>
      </c>
      <c r="C45" s="243">
        <v>2</v>
      </c>
      <c r="D45" s="274">
        <f>'PREC marzo 2014'!E121</f>
        <v>10486</v>
      </c>
      <c r="E45" s="274">
        <f t="shared" si="3"/>
        <v>20972</v>
      </c>
      <c r="F45" s="244">
        <f t="shared" si="4"/>
        <v>0.24257620033234081</v>
      </c>
    </row>
    <row r="46" spans="1:6">
      <c r="A46" s="257" t="s">
        <v>274</v>
      </c>
      <c r="B46" s="240" t="s">
        <v>36</v>
      </c>
      <c r="C46" s="243">
        <v>4</v>
      </c>
      <c r="D46" s="274">
        <f>'PREC marzo 2014'!E123</f>
        <v>900</v>
      </c>
      <c r="E46" s="274">
        <f t="shared" si="3"/>
        <v>3600</v>
      </c>
      <c r="F46" s="244">
        <f t="shared" si="4"/>
        <v>4.1640011500878642E-2</v>
      </c>
    </row>
    <row r="47" spans="1:6">
      <c r="A47" s="257" t="s">
        <v>318</v>
      </c>
      <c r="B47" s="240" t="s">
        <v>38</v>
      </c>
      <c r="C47" s="243">
        <v>1</v>
      </c>
      <c r="D47" s="274">
        <f>'PREC marzo 2014'!E116</f>
        <v>18050</v>
      </c>
      <c r="E47" s="274">
        <f t="shared" si="3"/>
        <v>18050</v>
      </c>
      <c r="F47" s="244">
        <f t="shared" si="4"/>
        <v>0.20877839099746098</v>
      </c>
    </row>
    <row r="48" spans="1:6">
      <c r="A48" s="257" t="s">
        <v>297</v>
      </c>
      <c r="B48" s="240" t="s">
        <v>36</v>
      </c>
      <c r="C48" s="243">
        <v>8</v>
      </c>
      <c r="D48" s="274">
        <f>'PREC marzo 2014'!E119</f>
        <v>2384</v>
      </c>
      <c r="E48" s="274">
        <f t="shared" si="3"/>
        <v>19072</v>
      </c>
      <c r="F48" s="244">
        <f t="shared" si="4"/>
        <v>0.22059952759576595</v>
      </c>
    </row>
    <row r="49" spans="1:6" ht="13.5" thickBot="1">
      <c r="A49" s="257" t="s">
        <v>1161</v>
      </c>
      <c r="B49" s="240" t="s">
        <v>107</v>
      </c>
      <c r="C49" s="243">
        <v>3</v>
      </c>
      <c r="D49" s="274">
        <f>'PREC marzo 2014'!E234</f>
        <v>2293</v>
      </c>
      <c r="E49" s="274">
        <f t="shared" si="3"/>
        <v>6879</v>
      </c>
      <c r="F49" s="244">
        <f t="shared" si="4"/>
        <v>7.956712197626227E-2</v>
      </c>
    </row>
    <row r="50" spans="1:6" ht="13.5" thickTop="1">
      <c r="A50" s="401" t="s">
        <v>156</v>
      </c>
      <c r="B50" s="402" t="s">
        <v>9</v>
      </c>
      <c r="C50" s="402" t="s">
        <v>9</v>
      </c>
      <c r="D50" s="402" t="s">
        <v>9</v>
      </c>
      <c r="E50" s="403">
        <f>SUM(E27:E49)</f>
        <v>6595903.6133333342</v>
      </c>
      <c r="F50" s="404">
        <f t="shared" si="4"/>
        <v>76.292639532746392</v>
      </c>
    </row>
    <row r="51" spans="1:6">
      <c r="A51" s="292" t="s">
        <v>66</v>
      </c>
      <c r="B51" s="258"/>
      <c r="C51" s="258"/>
      <c r="D51" s="258"/>
      <c r="E51" s="390"/>
      <c r="F51" s="241"/>
    </row>
    <row r="52" spans="1:6">
      <c r="A52" s="238" t="s">
        <v>298</v>
      </c>
      <c r="B52" s="258"/>
      <c r="C52" s="258"/>
      <c r="D52" s="258"/>
      <c r="E52" s="385">
        <v>60000</v>
      </c>
      <c r="F52" s="244">
        <f>E52/$E$55*100</f>
        <v>0.69400019168131066</v>
      </c>
    </row>
    <row r="53" spans="1:6">
      <c r="A53" s="238" t="s">
        <v>249</v>
      </c>
      <c r="B53" s="258"/>
      <c r="C53" s="258"/>
      <c r="D53" s="258"/>
      <c r="E53" s="385">
        <v>45000</v>
      </c>
      <c r="F53" s="244">
        <f>E53/$E$55*100</f>
        <v>0.52050014376098297</v>
      </c>
    </row>
    <row r="54" spans="1:6" ht="13.5" thickBot="1">
      <c r="A54" s="238" t="s">
        <v>433</v>
      </c>
      <c r="B54" s="239"/>
      <c r="C54" s="239"/>
      <c r="D54" s="239"/>
      <c r="E54" s="385">
        <v>200000</v>
      </c>
      <c r="F54" s="244">
        <f>E54/$E$55*100</f>
        <v>2.3133339722710358</v>
      </c>
    </row>
    <row r="55" spans="1:6" ht="14.25" thickTop="1" thickBot="1">
      <c r="A55" s="591" t="s">
        <v>300</v>
      </c>
      <c r="B55" s="592"/>
      <c r="C55" s="592"/>
      <c r="D55" s="592"/>
      <c r="E55" s="593">
        <f>E25+E50+E52+E54</f>
        <v>8645530.7533333339</v>
      </c>
      <c r="F55" s="594">
        <f>F25+F50+F52+F54</f>
        <v>100</v>
      </c>
    </row>
    <row r="56" spans="1:6" ht="13.5" thickBot="1">
      <c r="A56" s="576" t="s">
        <v>301</v>
      </c>
      <c r="B56" s="577"/>
      <c r="C56" s="577"/>
      <c r="D56" s="577"/>
      <c r="E56" s="577">
        <f>+E55/F3</f>
        <v>16053.348348961721</v>
      </c>
      <c r="F56" s="579"/>
    </row>
    <row r="57" spans="1:6">
      <c r="A57" s="269"/>
      <c r="B57" s="269"/>
      <c r="C57" s="269"/>
      <c r="D57" s="269"/>
      <c r="E57" s="269"/>
      <c r="F57" s="269"/>
    </row>
    <row r="58" spans="1:6">
      <c r="A58" s="837" t="s">
        <v>302</v>
      </c>
      <c r="B58" s="838">
        <f>+B63*B59</f>
        <v>39375</v>
      </c>
      <c r="C58" s="839" t="s">
        <v>434</v>
      </c>
      <c r="D58" s="840"/>
      <c r="E58" s="841" t="s">
        <v>9</v>
      </c>
      <c r="F58" s="842"/>
    </row>
    <row r="59" spans="1:6">
      <c r="A59" s="837" t="s">
        <v>435</v>
      </c>
      <c r="B59" s="843">
        <v>0.9</v>
      </c>
      <c r="C59" s="839" t="s">
        <v>436</v>
      </c>
      <c r="D59" s="839" t="s">
        <v>9</v>
      </c>
      <c r="E59" s="844" t="s">
        <v>9</v>
      </c>
      <c r="F59" s="712" t="s">
        <v>9</v>
      </c>
    </row>
    <row r="60" spans="1:6">
      <c r="A60" s="837" t="s">
        <v>1103</v>
      </c>
      <c r="B60" s="845">
        <f>+E55/B58</f>
        <v>219.56903500529103</v>
      </c>
      <c r="C60" s="839" t="s">
        <v>74</v>
      </c>
      <c r="D60" s="839" t="s">
        <v>9</v>
      </c>
      <c r="E60" s="844" t="s">
        <v>9</v>
      </c>
      <c r="F60" s="712" t="s">
        <v>9</v>
      </c>
    </row>
    <row r="61" spans="1:6">
      <c r="A61" s="837" t="s">
        <v>1134</v>
      </c>
      <c r="B61" s="846">
        <f>10000/0.16</f>
        <v>62500</v>
      </c>
      <c r="C61" s="839" t="s">
        <v>437</v>
      </c>
      <c r="D61" s="839"/>
      <c r="E61" s="844" t="s">
        <v>1135</v>
      </c>
      <c r="F61" s="842"/>
    </row>
    <row r="62" spans="1:6">
      <c r="A62" s="837" t="s">
        <v>438</v>
      </c>
      <c r="B62" s="846">
        <f>0.3*B61</f>
        <v>18750</v>
      </c>
      <c r="C62" s="847" t="s">
        <v>1137</v>
      </c>
      <c r="D62" s="839"/>
      <c r="E62" s="844"/>
      <c r="F62" s="842"/>
    </row>
    <row r="63" spans="1:6">
      <c r="A63" s="711" t="s">
        <v>439</v>
      </c>
      <c r="B63" s="848">
        <f>+B61-B62</f>
        <v>43750</v>
      </c>
      <c r="C63" s="839" t="s">
        <v>269</v>
      </c>
      <c r="D63" s="839"/>
      <c r="E63" s="844"/>
      <c r="F63" s="842"/>
    </row>
    <row r="64" spans="1:6">
      <c r="A64" s="1019" t="str">
        <f>cebolla!A74</f>
        <v>Precio finca mayo 2015</v>
      </c>
      <c r="B64" s="62">
        <f>resumen!F16</f>
        <v>500</v>
      </c>
      <c r="C64" s="62" t="s">
        <v>74</v>
      </c>
      <c r="D64" s="839" t="s">
        <v>9</v>
      </c>
      <c r="E64" s="841" t="s">
        <v>9</v>
      </c>
      <c r="F64" s="842"/>
    </row>
    <row r="65" spans="1:6">
      <c r="A65" s="399"/>
      <c r="B65" s="226"/>
      <c r="C65" s="226"/>
      <c r="D65" s="226"/>
      <c r="E65" s="226"/>
      <c r="F65" s="299"/>
    </row>
    <row r="66" spans="1:6">
      <c r="A66" t="s">
        <v>440</v>
      </c>
    </row>
    <row r="67" spans="1:6">
      <c r="A67" t="s">
        <v>527</v>
      </c>
    </row>
    <row r="68" spans="1:6">
      <c r="A68" t="s">
        <v>1136</v>
      </c>
    </row>
    <row r="69" spans="1:6">
      <c r="A69" t="s">
        <v>1177</v>
      </c>
    </row>
    <row r="70" spans="1:6">
      <c r="A70" s="1012" t="s">
        <v>1178</v>
      </c>
    </row>
    <row r="71" spans="1:6">
      <c r="A71" t="s">
        <v>1140</v>
      </c>
    </row>
    <row r="72" spans="1:6">
      <c r="A72" t="s">
        <v>1138</v>
      </c>
    </row>
    <row r="73" spans="1:6">
      <c r="A73" t="s">
        <v>1139</v>
      </c>
    </row>
    <row r="74" spans="1:6">
      <c r="A74" t="s">
        <v>1141</v>
      </c>
    </row>
    <row r="75" spans="1:6">
      <c r="A75" s="229" t="s">
        <v>653</v>
      </c>
    </row>
    <row r="76" spans="1:6">
      <c r="A76" t="s">
        <v>9</v>
      </c>
    </row>
    <row r="78" spans="1:6">
      <c r="A78" t="s">
        <v>9</v>
      </c>
    </row>
  </sheetData>
  <phoneticPr fontId="34" type="noConversion"/>
  <pageMargins left="0.78740157480314965" right="0.19685039370078741" top="0.66" bottom="0.64" header="0" footer="0"/>
  <pageSetup scale="85" orientation="portrait" horizontalDpi="120" verticalDpi="144" r:id="rId1"/>
  <headerFooter alignWithMargins="0"/>
</worksheet>
</file>

<file path=xl/worksheets/sheet17.xml><?xml version="1.0" encoding="utf-8"?>
<worksheet xmlns="http://schemas.openxmlformats.org/spreadsheetml/2006/main" xmlns:r="http://schemas.openxmlformats.org/officeDocument/2006/relationships">
  <dimension ref="A1:F49"/>
  <sheetViews>
    <sheetView workbookViewId="0">
      <selection activeCell="B37" sqref="B37"/>
    </sheetView>
  </sheetViews>
  <sheetFormatPr baseColWidth="10" defaultRowHeight="12.75"/>
  <cols>
    <col min="1" max="1" width="31.28515625" customWidth="1"/>
    <col min="2" max="2" width="10.42578125" customWidth="1"/>
    <col min="3" max="3" width="9" customWidth="1"/>
    <col min="4" max="4" width="10.140625" customWidth="1"/>
    <col min="5" max="5" width="11.140625" customWidth="1"/>
    <col min="6" max="6" width="9.28515625" customWidth="1"/>
  </cols>
  <sheetData>
    <row r="1" spans="1:6" ht="16.5" thickBot="1">
      <c r="A1" s="991" t="s">
        <v>1175</v>
      </c>
      <c r="B1" s="87"/>
      <c r="C1" s="87"/>
      <c r="D1" s="87"/>
      <c r="E1" s="87"/>
      <c r="F1" s="87"/>
    </row>
    <row r="2" spans="1:6" ht="16.5" thickBot="1">
      <c r="A2" s="625" t="s">
        <v>441</v>
      </c>
      <c r="B2" s="87"/>
      <c r="C2" s="87"/>
      <c r="D2" s="635" t="s">
        <v>442</v>
      </c>
      <c r="E2" s="650">
        <f>'PREC marzo 2014'!B4</f>
        <v>538.54999999999995</v>
      </c>
      <c r="F2" s="87"/>
    </row>
    <row r="3" spans="1:6" ht="15.75" thickBot="1">
      <c r="A3" s="626" t="s">
        <v>1303</v>
      </c>
      <c r="B3" s="370">
        <f>'PREC marzo 2014'!B3</f>
        <v>42143</v>
      </c>
      <c r="C3" s="87"/>
      <c r="D3" s="651" t="s">
        <v>443</v>
      </c>
      <c r="E3" s="652">
        <f>'PREC marzo 2014'!C11</f>
        <v>7883.82</v>
      </c>
      <c r="F3" s="87"/>
    </row>
    <row r="4" spans="1:6">
      <c r="A4" s="595"/>
      <c r="B4" s="595"/>
      <c r="C4" s="596" t="s">
        <v>9</v>
      </c>
      <c r="D4" s="597" t="s">
        <v>194</v>
      </c>
      <c r="E4" s="597" t="s">
        <v>383</v>
      </c>
      <c r="F4" s="597" t="s">
        <v>195</v>
      </c>
    </row>
    <row r="5" spans="1:6">
      <c r="A5" s="598" t="s">
        <v>95</v>
      </c>
      <c r="B5" s="598" t="s">
        <v>197</v>
      </c>
      <c r="C5" s="598" t="s">
        <v>198</v>
      </c>
      <c r="D5" s="598" t="s">
        <v>15</v>
      </c>
      <c r="E5" s="598" t="s">
        <v>16</v>
      </c>
      <c r="F5" s="599"/>
    </row>
    <row r="6" spans="1:6" ht="13.5" thickBot="1">
      <c r="A6" s="600"/>
      <c r="B6" s="601"/>
      <c r="C6" s="601"/>
      <c r="D6" s="602" t="s">
        <v>200</v>
      </c>
      <c r="E6" s="602" t="s">
        <v>200</v>
      </c>
      <c r="F6" s="602" t="s">
        <v>82</v>
      </c>
    </row>
    <row r="7" spans="1:6">
      <c r="A7" s="405" t="s">
        <v>134</v>
      </c>
      <c r="B7" s="406"/>
      <c r="C7" s="406"/>
      <c r="D7" s="406"/>
      <c r="E7" s="406"/>
      <c r="F7" s="406"/>
    </row>
    <row r="8" spans="1:6">
      <c r="A8" s="407" t="s">
        <v>202</v>
      </c>
      <c r="B8" s="57"/>
      <c r="C8" s="57"/>
      <c r="D8" s="325"/>
      <c r="E8" s="785" t="s">
        <v>9</v>
      </c>
      <c r="F8" s="57"/>
    </row>
    <row r="9" spans="1:6">
      <c r="A9" s="407" t="s">
        <v>136</v>
      </c>
      <c r="B9" s="408" t="s">
        <v>384</v>
      </c>
      <c r="C9" s="409">
        <v>4</v>
      </c>
      <c r="D9" s="410">
        <f>+'PREC marzo 2014'!C7</f>
        <v>18000</v>
      </c>
      <c r="E9" s="410">
        <f>C9*D9</f>
        <v>72000</v>
      </c>
      <c r="F9" s="411">
        <f>E9/$E$32*100</f>
        <v>4.5166508074856049</v>
      </c>
    </row>
    <row r="10" spans="1:6">
      <c r="A10" s="407" t="s">
        <v>385</v>
      </c>
      <c r="B10" s="408" t="s">
        <v>384</v>
      </c>
      <c r="C10" s="409">
        <v>4</v>
      </c>
      <c r="D10" s="410">
        <f>+D9</f>
        <v>18000</v>
      </c>
      <c r="E10" s="410">
        <f>C10*D10</f>
        <v>72000</v>
      </c>
      <c r="F10" s="411">
        <f>E10/$E$32*100</f>
        <v>4.5166508074856049</v>
      </c>
    </row>
    <row r="11" spans="1:6">
      <c r="A11" s="412" t="s">
        <v>140</v>
      </c>
      <c r="B11" s="413"/>
      <c r="C11" s="413"/>
      <c r="D11" s="786"/>
      <c r="E11" s="414">
        <f>SUM(E9:E10)</f>
        <v>144000</v>
      </c>
      <c r="F11" s="415">
        <f>E11/$E$32*100</f>
        <v>9.0333016149712098</v>
      </c>
    </row>
    <row r="12" spans="1:6">
      <c r="A12" s="412" t="s">
        <v>141</v>
      </c>
      <c r="B12" s="57"/>
      <c r="C12" s="57"/>
      <c r="D12" s="325"/>
      <c r="E12" s="325"/>
      <c r="F12" s="416" t="s">
        <v>9</v>
      </c>
    </row>
    <row r="13" spans="1:6">
      <c r="A13" s="407" t="s">
        <v>386</v>
      </c>
      <c r="B13" s="408" t="s">
        <v>143</v>
      </c>
      <c r="C13" s="409">
        <v>1</v>
      </c>
      <c r="D13" s="410">
        <f t="shared" ref="D13:D18" si="0">+$E$3</f>
        <v>7883.82</v>
      </c>
      <c r="E13" s="410">
        <f t="shared" ref="E13:E18" si="1">C13*D13</f>
        <v>7883.82</v>
      </c>
      <c r="F13" s="411">
        <f t="shared" ref="F13:F21" si="2">E13/$E$32*100</f>
        <v>0.49456197179265499</v>
      </c>
    </row>
    <row r="14" spans="1:6">
      <c r="A14" s="407" t="s">
        <v>316</v>
      </c>
      <c r="B14" s="408" t="s">
        <v>143</v>
      </c>
      <c r="C14" s="409">
        <v>8</v>
      </c>
      <c r="D14" s="410">
        <f t="shared" si="0"/>
        <v>7883.82</v>
      </c>
      <c r="E14" s="410">
        <f t="shared" si="1"/>
        <v>63070.559999999998</v>
      </c>
      <c r="F14" s="411">
        <f t="shared" si="2"/>
        <v>3.9564957743412399</v>
      </c>
    </row>
    <row r="15" spans="1:6">
      <c r="A15" s="407" t="s">
        <v>387</v>
      </c>
      <c r="B15" s="408" t="s">
        <v>143</v>
      </c>
      <c r="C15" s="409">
        <v>1</v>
      </c>
      <c r="D15" s="410">
        <f t="shared" si="0"/>
        <v>7883.82</v>
      </c>
      <c r="E15" s="410">
        <f t="shared" si="1"/>
        <v>7883.82</v>
      </c>
      <c r="F15" s="411">
        <f t="shared" si="2"/>
        <v>0.49456197179265499</v>
      </c>
    </row>
    <row r="16" spans="1:6">
      <c r="A16" s="407" t="s">
        <v>237</v>
      </c>
      <c r="B16" s="408" t="s">
        <v>143</v>
      </c>
      <c r="C16" s="409">
        <v>8</v>
      </c>
      <c r="D16" s="410">
        <f t="shared" si="0"/>
        <v>7883.82</v>
      </c>
      <c r="E16" s="410">
        <f t="shared" si="1"/>
        <v>63070.559999999998</v>
      </c>
      <c r="F16" s="411">
        <f t="shared" si="2"/>
        <v>3.9564957743412399</v>
      </c>
    </row>
    <row r="17" spans="1:6">
      <c r="A17" s="407" t="s">
        <v>138</v>
      </c>
      <c r="B17" s="408" t="s">
        <v>143</v>
      </c>
      <c r="C17" s="409">
        <v>64</v>
      </c>
      <c r="D17" s="410">
        <f t="shared" si="0"/>
        <v>7883.82</v>
      </c>
      <c r="E17" s="410">
        <f t="shared" si="1"/>
        <v>504564.47999999998</v>
      </c>
      <c r="F17" s="411">
        <f t="shared" si="2"/>
        <v>31.651966194729919</v>
      </c>
    </row>
    <row r="18" spans="1:6">
      <c r="A18" s="407" t="s">
        <v>444</v>
      </c>
      <c r="B18" s="408" t="s">
        <v>143</v>
      </c>
      <c r="C18" s="409">
        <v>1</v>
      </c>
      <c r="D18" s="410">
        <f t="shared" si="0"/>
        <v>7883.82</v>
      </c>
      <c r="E18" s="410">
        <f t="shared" si="1"/>
        <v>7883.82</v>
      </c>
      <c r="F18" s="411">
        <f t="shared" si="2"/>
        <v>0.49456197179265499</v>
      </c>
    </row>
    <row r="19" spans="1:6">
      <c r="A19" s="407" t="s">
        <v>314</v>
      </c>
      <c r="B19" s="417"/>
      <c r="C19" s="417"/>
      <c r="D19" s="787"/>
      <c r="E19" s="418">
        <f>SUM(E13:E18)</f>
        <v>654357.05999999994</v>
      </c>
      <c r="F19" s="419">
        <f t="shared" si="2"/>
        <v>41.048643658790354</v>
      </c>
    </row>
    <row r="20" spans="1:6">
      <c r="A20" s="407" t="s">
        <v>718</v>
      </c>
      <c r="B20" s="57" t="s">
        <v>720</v>
      </c>
      <c r="C20" s="57"/>
      <c r="D20" s="325"/>
      <c r="E20" s="410">
        <f>'PREC marzo 2014'!C10*3</f>
        <v>42000</v>
      </c>
      <c r="F20" s="411">
        <f t="shared" si="2"/>
        <v>2.6347129710332693</v>
      </c>
    </row>
    <row r="21" spans="1:6">
      <c r="A21" s="412" t="s">
        <v>389</v>
      </c>
      <c r="B21" s="413"/>
      <c r="C21" s="413"/>
      <c r="D21" s="786"/>
      <c r="E21" s="414">
        <f>E20+E19</f>
        <v>696357.05999999994</v>
      </c>
      <c r="F21" s="415">
        <f t="shared" si="2"/>
        <v>43.683356629823628</v>
      </c>
    </row>
    <row r="22" spans="1:6">
      <c r="A22" s="412" t="s">
        <v>390</v>
      </c>
      <c r="B22" s="57"/>
      <c r="C22" s="57"/>
      <c r="D22" s="325"/>
      <c r="E22" s="325"/>
      <c r="F22" s="57"/>
    </row>
    <row r="23" spans="1:6">
      <c r="A23" s="62" t="s">
        <v>1118</v>
      </c>
      <c r="B23" s="408" t="s">
        <v>36</v>
      </c>
      <c r="C23" s="411">
        <v>3</v>
      </c>
      <c r="D23" s="410">
        <f>'PREC marzo 2014'!C32</f>
        <v>125800</v>
      </c>
      <c r="E23" s="410">
        <f t="shared" ref="E23:E28" si="3">C23*D23</f>
        <v>377400</v>
      </c>
      <c r="F23" s="411">
        <f t="shared" ref="F23:F29" si="4">E23/$E$32*100</f>
        <v>23.674777982570376</v>
      </c>
    </row>
    <row r="24" spans="1:6">
      <c r="A24" s="407" t="s">
        <v>289</v>
      </c>
      <c r="B24" s="408" t="s">
        <v>36</v>
      </c>
      <c r="C24" s="411">
        <f>10*50</f>
        <v>500</v>
      </c>
      <c r="D24" s="410">
        <f>'PREC marzo 2014'!E71</f>
        <v>287.9869565217391</v>
      </c>
      <c r="E24" s="410">
        <f t="shared" si="3"/>
        <v>143993.47826086954</v>
      </c>
      <c r="F24" s="411">
        <f t="shared" si="4"/>
        <v>9.0328924980502396</v>
      </c>
    </row>
    <row r="25" spans="1:6">
      <c r="A25" s="420" t="s">
        <v>445</v>
      </c>
      <c r="B25" s="408" t="s">
        <v>36</v>
      </c>
      <c r="C25" s="411">
        <v>12</v>
      </c>
      <c r="D25" s="410">
        <f>+'PREC marzo 2014'!E121</f>
        <v>10486</v>
      </c>
      <c r="E25" s="410">
        <f t="shared" si="3"/>
        <v>125832</v>
      </c>
      <c r="F25" s="411">
        <f t="shared" si="4"/>
        <v>7.8936000612156745</v>
      </c>
    </row>
    <row r="26" spans="1:6">
      <c r="A26" s="407" t="s">
        <v>446</v>
      </c>
      <c r="B26" s="408" t="s">
        <v>283</v>
      </c>
      <c r="C26" s="411">
        <v>1</v>
      </c>
      <c r="D26" s="410">
        <f>+'PREC marzo 2014'!C206</f>
        <v>28098</v>
      </c>
      <c r="E26" s="410">
        <f t="shared" si="3"/>
        <v>28098</v>
      </c>
      <c r="F26" s="411">
        <f t="shared" si="4"/>
        <v>1.762622977621257</v>
      </c>
    </row>
    <row r="27" spans="1:6">
      <c r="A27" s="420" t="s">
        <v>122</v>
      </c>
      <c r="B27" s="408" t="s">
        <v>38</v>
      </c>
      <c r="C27" s="411">
        <v>0.3</v>
      </c>
      <c r="D27" s="410">
        <f>'PREC marzo 2014'!E186</f>
        <v>32000</v>
      </c>
      <c r="E27" s="410">
        <f t="shared" si="3"/>
        <v>9600</v>
      </c>
      <c r="F27" s="411">
        <f t="shared" si="4"/>
        <v>0.60222010766474732</v>
      </c>
    </row>
    <row r="28" spans="1:6">
      <c r="A28" s="407" t="s">
        <v>1172</v>
      </c>
      <c r="B28" s="408" t="s">
        <v>447</v>
      </c>
      <c r="C28" s="411">
        <v>1</v>
      </c>
      <c r="D28" s="410">
        <f>'PREC marzo 2014'!C218</f>
        <v>8821</v>
      </c>
      <c r="E28" s="410">
        <f t="shared" si="3"/>
        <v>8821</v>
      </c>
      <c r="F28" s="411">
        <f t="shared" si="4"/>
        <v>0.55335245517820164</v>
      </c>
    </row>
    <row r="29" spans="1:6">
      <c r="A29" s="412" t="s">
        <v>156</v>
      </c>
      <c r="B29" s="421" t="s">
        <v>9</v>
      </c>
      <c r="C29" s="412" t="s">
        <v>9</v>
      </c>
      <c r="D29" s="788" t="s">
        <v>9</v>
      </c>
      <c r="E29" s="410">
        <f>SUM(E23:E28)</f>
        <v>693744.47826086951</v>
      </c>
      <c r="F29" s="415">
        <f t="shared" si="4"/>
        <v>43.519466082300497</v>
      </c>
    </row>
    <row r="30" spans="1:6">
      <c r="A30" s="407" t="s">
        <v>66</v>
      </c>
      <c r="B30" s="422"/>
      <c r="C30" s="57"/>
      <c r="D30" s="325"/>
      <c r="E30" s="325"/>
      <c r="F30" s="57"/>
    </row>
    <row r="31" spans="1:6">
      <c r="A31" s="407" t="s">
        <v>215</v>
      </c>
      <c r="B31" s="57"/>
      <c r="C31" s="57"/>
      <c r="D31" s="325"/>
      <c r="E31" s="410">
        <v>60000</v>
      </c>
      <c r="F31" s="411">
        <f>E31/$E$32*100</f>
        <v>3.7638756729046698</v>
      </c>
    </row>
    <row r="32" spans="1:6">
      <c r="A32" s="603" t="s">
        <v>395</v>
      </c>
      <c r="B32" s="604"/>
      <c r="C32" s="604"/>
      <c r="D32" s="604"/>
      <c r="E32" s="605">
        <f>E11+E21+E29+E31</f>
        <v>1594101.5382608694</v>
      </c>
      <c r="F32" s="606">
        <f>E32/E32*100</f>
        <v>100</v>
      </c>
    </row>
    <row r="33" spans="1:6">
      <c r="A33" s="603" t="s">
        <v>396</v>
      </c>
      <c r="B33" s="604"/>
      <c r="C33" s="604"/>
      <c r="D33" s="604"/>
      <c r="E33" s="605">
        <f>+E32/261</f>
        <v>6107.6687289688489</v>
      </c>
      <c r="F33" s="606" t="s">
        <v>9</v>
      </c>
    </row>
    <row r="34" spans="1:6">
      <c r="A34" s="423"/>
      <c r="B34" s="424"/>
      <c r="C34" s="424"/>
      <c r="D34" s="424"/>
      <c r="E34" s="425"/>
      <c r="F34" s="426"/>
    </row>
    <row r="35" spans="1:6">
      <c r="A35" s="837" t="s">
        <v>448</v>
      </c>
      <c r="B35" s="713">
        <v>15000</v>
      </c>
      <c r="C35" s="839" t="s">
        <v>449</v>
      </c>
      <c r="D35" s="840">
        <v>0.4</v>
      </c>
      <c r="E35" s="1054">
        <f>D35*B35</f>
        <v>6000</v>
      </c>
      <c r="F35" s="1055" t="s">
        <v>158</v>
      </c>
    </row>
    <row r="36" spans="1:6">
      <c r="A36" s="228" t="s">
        <v>644</v>
      </c>
      <c r="B36" s="427">
        <f>+E32/B35</f>
        <v>106.27343588405796</v>
      </c>
      <c r="C36" s="53" t="s">
        <v>303</v>
      </c>
      <c r="D36" s="87"/>
      <c r="E36" s="87"/>
      <c r="F36" s="87"/>
    </row>
    <row r="37" spans="1:6">
      <c r="A37" s="1019" t="str">
        <f>lechug!A51</f>
        <v>Precio finca mayo 2015</v>
      </c>
      <c r="B37" s="53">
        <f>resumen!F17</f>
        <v>175</v>
      </c>
      <c r="C37" s="53" t="s">
        <v>303</v>
      </c>
      <c r="D37" s="875" t="s">
        <v>1174</v>
      </c>
      <c r="E37" s="87"/>
      <c r="F37" s="87"/>
    </row>
    <row r="38" spans="1:6">
      <c r="A38" s="62" t="s">
        <v>1101</v>
      </c>
      <c r="B38" s="435">
        <f>B35*B37</f>
        <v>2625000</v>
      </c>
      <c r="C38" s="87"/>
      <c r="D38" s="87"/>
      <c r="E38" s="87"/>
      <c r="F38" s="87"/>
    </row>
    <row r="39" spans="1:6">
      <c r="A39" s="789" t="s">
        <v>1102</v>
      </c>
      <c r="B39" s="976">
        <f>B38-E32</f>
        <v>1030898.4617391306</v>
      </c>
      <c r="C39" s="87"/>
      <c r="D39" s="87"/>
      <c r="E39" s="87"/>
      <c r="F39" s="87"/>
    </row>
    <row r="41" spans="1:6">
      <c r="A41" s="229" t="s">
        <v>653</v>
      </c>
    </row>
    <row r="42" spans="1:6">
      <c r="A42" s="1052" t="s">
        <v>1185</v>
      </c>
    </row>
    <row r="43" spans="1:6">
      <c r="A43" s="888" t="s">
        <v>1183</v>
      </c>
    </row>
    <row r="44" spans="1:6">
      <c r="A44" s="1053" t="s">
        <v>1184</v>
      </c>
    </row>
    <row r="46" spans="1:6">
      <c r="A46" s="8" t="s">
        <v>1186</v>
      </c>
      <c r="B46" s="8"/>
      <c r="C46" s="8"/>
      <c r="D46" s="1056">
        <f>32000/1.5</f>
        <v>21333.333333333332</v>
      </c>
      <c r="E46" s="8"/>
    </row>
    <row r="47" spans="1:6">
      <c r="A47" s="8"/>
      <c r="B47" s="8"/>
      <c r="C47" s="8"/>
      <c r="D47" s="8"/>
      <c r="E47" s="8"/>
    </row>
    <row r="48" spans="1:6">
      <c r="A48" s="8" t="s">
        <v>1187</v>
      </c>
      <c r="B48" s="8">
        <v>0.2</v>
      </c>
      <c r="C48" s="8">
        <v>32000</v>
      </c>
      <c r="D48" s="8">
        <f>C48*B48</f>
        <v>6400</v>
      </c>
      <c r="E48" s="8"/>
    </row>
    <row r="49" spans="1:5">
      <c r="A49" s="8"/>
      <c r="B49" s="8"/>
      <c r="C49" s="8">
        <v>22857</v>
      </c>
      <c r="D49" s="8">
        <f>C49*B48</f>
        <v>4571.4000000000005</v>
      </c>
      <c r="E49" s="8" t="s">
        <v>105</v>
      </c>
    </row>
  </sheetData>
  <phoneticPr fontId="34" type="noConversion"/>
  <pageMargins left="0.78740157480314965" right="0.39370078740157483" top="0.78740157480314965" bottom="0.78740157480314965" header="0" footer="0"/>
  <pageSetup orientation="portrait" horizontalDpi="120" verticalDpi="144"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G20"/>
  <sheetViews>
    <sheetView tabSelected="1" workbookViewId="0">
      <selection activeCell="F14" sqref="F14"/>
    </sheetView>
  </sheetViews>
  <sheetFormatPr baseColWidth="10" defaultRowHeight="12.75"/>
  <cols>
    <col min="1" max="1" width="18.5703125" customWidth="1"/>
    <col min="2" max="2" width="22.5703125" customWidth="1"/>
    <col min="3" max="3" width="12.5703125" customWidth="1"/>
    <col min="4" max="4" width="17.7109375" customWidth="1"/>
    <col min="5" max="5" width="21.140625" customWidth="1"/>
    <col min="6" max="6" width="18.85546875" customWidth="1"/>
    <col min="7" max="7" width="18.7109375" customWidth="1"/>
  </cols>
  <sheetData>
    <row r="1" spans="1:7" ht="15.75">
      <c r="A1" s="877" t="s">
        <v>883</v>
      </c>
    </row>
    <row r="2" spans="1:7">
      <c r="A2" s="485" t="s">
        <v>376</v>
      </c>
      <c r="B2" s="907">
        <f>'PREC marzo 2014'!B3</f>
        <v>42143</v>
      </c>
    </row>
    <row r="3" spans="1:7" ht="54.75" customHeight="1">
      <c r="A3" s="876" t="s">
        <v>877</v>
      </c>
      <c r="B3" s="876" t="s">
        <v>888</v>
      </c>
      <c r="C3" s="876" t="s">
        <v>271</v>
      </c>
      <c r="D3" s="876" t="s">
        <v>876</v>
      </c>
      <c r="E3" s="876" t="s">
        <v>887</v>
      </c>
      <c r="F3" s="876" t="s">
        <v>1310</v>
      </c>
      <c r="G3" s="876" t="s">
        <v>1304</v>
      </c>
    </row>
    <row r="4" spans="1:7" ht="18">
      <c r="A4" s="878" t="s">
        <v>878</v>
      </c>
      <c r="B4" s="881">
        <f>'papa 1'!C61</f>
        <v>25000</v>
      </c>
      <c r="C4" s="880" t="s">
        <v>884</v>
      </c>
      <c r="D4" s="879">
        <f>'papa 1'!E59</f>
        <v>5535193.278260869</v>
      </c>
      <c r="E4" s="906">
        <f t="shared" ref="E4:E17" si="0">D4/B4</f>
        <v>221.40773113043477</v>
      </c>
      <c r="F4" s="906">
        <v>543</v>
      </c>
      <c r="G4" s="906">
        <v>478</v>
      </c>
    </row>
    <row r="5" spans="1:7" ht="18">
      <c r="A5" s="878" t="s">
        <v>541</v>
      </c>
      <c r="B5" s="881">
        <f>cebolla!B72</f>
        <v>28190</v>
      </c>
      <c r="C5" s="880" t="s">
        <v>884</v>
      </c>
      <c r="D5" s="879">
        <f>cebolla!E70</f>
        <v>4273187.5232608691</v>
      </c>
      <c r="E5" s="906">
        <f t="shared" si="0"/>
        <v>151.58522608232951</v>
      </c>
      <c r="F5" s="906">
        <v>350</v>
      </c>
      <c r="G5" s="906">
        <v>500</v>
      </c>
    </row>
    <row r="6" spans="1:7" ht="18">
      <c r="A6" s="878" t="s">
        <v>557</v>
      </c>
      <c r="B6" s="881">
        <f>zanah!B52</f>
        <v>35000</v>
      </c>
      <c r="C6" s="880" t="s">
        <v>884</v>
      </c>
      <c r="D6" s="879">
        <f>zanah!E50</f>
        <v>3421747.8876666659</v>
      </c>
      <c r="E6" s="906">
        <f t="shared" si="0"/>
        <v>97.764225361904735</v>
      </c>
      <c r="F6" s="906">
        <v>304</v>
      </c>
      <c r="G6" s="906">
        <v>370</v>
      </c>
    </row>
    <row r="7" spans="1:7" ht="18">
      <c r="A7" s="878" t="s">
        <v>554</v>
      </c>
      <c r="B7" s="881">
        <f>rep!C49</f>
        <v>30000</v>
      </c>
      <c r="C7" s="880" t="s">
        <v>884</v>
      </c>
      <c r="D7" s="879">
        <f>rep!E47</f>
        <v>1960908.3966666665</v>
      </c>
      <c r="E7" s="906">
        <f t="shared" si="0"/>
        <v>65.363613222222213</v>
      </c>
      <c r="F7" s="906">
        <v>150</v>
      </c>
      <c r="G7" s="906">
        <v>180</v>
      </c>
    </row>
    <row r="8" spans="1:7" ht="18">
      <c r="A8" s="878" t="s">
        <v>879</v>
      </c>
      <c r="B8" s="881">
        <f>brocoli!B50</f>
        <v>12000</v>
      </c>
      <c r="C8" s="880" t="s">
        <v>884</v>
      </c>
      <c r="D8" s="879">
        <f>brocoli!E47</f>
        <v>2467003.6399999997</v>
      </c>
      <c r="E8" s="906">
        <f t="shared" si="0"/>
        <v>205.58363666666665</v>
      </c>
      <c r="F8" s="906">
        <v>500</v>
      </c>
      <c r="G8" s="906">
        <v>800</v>
      </c>
    </row>
    <row r="9" spans="1:7" ht="18">
      <c r="A9" s="878" t="s">
        <v>542</v>
      </c>
      <c r="B9" s="881">
        <f>Coliflor!B49</f>
        <v>15000</v>
      </c>
      <c r="C9" s="880" t="s">
        <v>885</v>
      </c>
      <c r="D9" s="879">
        <f>Coliflor!E46</f>
        <v>2723841.74</v>
      </c>
      <c r="E9" s="906">
        <f t="shared" si="0"/>
        <v>181.58944933333333</v>
      </c>
      <c r="F9" s="906">
        <v>350</v>
      </c>
      <c r="G9" s="906">
        <v>400</v>
      </c>
    </row>
    <row r="10" spans="1:7" ht="18">
      <c r="A10" s="878" t="s">
        <v>553</v>
      </c>
      <c r="B10" s="881">
        <f>remolacha!B45</f>
        <v>110000</v>
      </c>
      <c r="C10" s="880" t="s">
        <v>885</v>
      </c>
      <c r="D10" s="879">
        <f>remolacha!E43</f>
        <v>2586867.6866666665</v>
      </c>
      <c r="E10" s="906">
        <f t="shared" si="0"/>
        <v>23.516978969696968</v>
      </c>
      <c r="F10" s="906">
        <v>150</v>
      </c>
      <c r="G10" s="906">
        <v>130</v>
      </c>
    </row>
    <row r="11" spans="1:7" ht="18">
      <c r="A11" s="878" t="s">
        <v>555</v>
      </c>
      <c r="B11" s="881">
        <f>tomate!B57*10</f>
        <v>70000</v>
      </c>
      <c r="C11" s="880" t="s">
        <v>884</v>
      </c>
      <c r="D11" s="879">
        <f>tomate!E55</f>
        <v>8642635.5023188405</v>
      </c>
      <c r="E11" s="906">
        <f t="shared" si="0"/>
        <v>123.46622146169773</v>
      </c>
      <c r="F11" s="906">
        <v>333</v>
      </c>
      <c r="G11" s="906">
        <v>944</v>
      </c>
    </row>
    <row r="12" spans="1:7" ht="18">
      <c r="A12" s="878" t="s">
        <v>880</v>
      </c>
      <c r="B12" s="881">
        <f>'chile d'!B55</f>
        <v>24000</v>
      </c>
      <c r="C12" s="880" t="s">
        <v>884</v>
      </c>
      <c r="D12" s="879">
        <f>'chile d'!E53</f>
        <v>5618499.7537681162</v>
      </c>
      <c r="E12" s="906">
        <f t="shared" si="0"/>
        <v>234.10415640700484</v>
      </c>
      <c r="F12" s="906">
        <f>'chile d'!E59</f>
        <v>413.79310344827587</v>
      </c>
      <c r="G12" s="906">
        <v>160</v>
      </c>
    </row>
    <row r="13" spans="1:7" ht="18">
      <c r="A13" s="878" t="s">
        <v>881</v>
      </c>
      <c r="B13" s="881">
        <f>vainica!B44</f>
        <v>15000</v>
      </c>
      <c r="C13" s="880" t="s">
        <v>884</v>
      </c>
      <c r="D13" s="879">
        <f>vainica!E41</f>
        <v>2563006.6533333333</v>
      </c>
      <c r="E13" s="906">
        <f t="shared" si="0"/>
        <v>170.86711022222221</v>
      </c>
      <c r="F13" s="906">
        <v>600</v>
      </c>
      <c r="G13" s="906">
        <v>1000</v>
      </c>
    </row>
    <row r="14" spans="1:7" ht="18">
      <c r="A14" s="878" t="s">
        <v>545</v>
      </c>
      <c r="B14" s="881">
        <f>lechug!B49</f>
        <v>89600</v>
      </c>
      <c r="C14" s="880" t="s">
        <v>885</v>
      </c>
      <c r="D14" s="879">
        <f>lechug!E41</f>
        <v>5147642.9816666665</v>
      </c>
      <c r="E14" s="906">
        <f t="shared" si="0"/>
        <v>57.451372563244043</v>
      </c>
      <c r="F14" s="906">
        <v>150</v>
      </c>
      <c r="G14" s="906">
        <v>150</v>
      </c>
    </row>
    <row r="15" spans="1:7" ht="18">
      <c r="A15" s="878" t="s">
        <v>570</v>
      </c>
      <c r="B15" s="881">
        <f>culantro!B45</f>
        <v>150000</v>
      </c>
      <c r="C15" s="880" t="s">
        <v>886</v>
      </c>
      <c r="D15" s="879">
        <f>culantro!E41</f>
        <v>2213655.8918478261</v>
      </c>
      <c r="E15" s="906">
        <f t="shared" si="0"/>
        <v>14.757705945652173</v>
      </c>
      <c r="F15" s="906">
        <v>70</v>
      </c>
      <c r="G15" s="906">
        <v>45</v>
      </c>
    </row>
    <row r="16" spans="1:7" ht="18">
      <c r="A16" s="878" t="s">
        <v>537</v>
      </c>
      <c r="B16" s="881">
        <f>apio!B58</f>
        <v>39375</v>
      </c>
      <c r="C16" s="880" t="s">
        <v>884</v>
      </c>
      <c r="D16" s="879">
        <f>apio!E55</f>
        <v>8645530.7533333339</v>
      </c>
      <c r="E16" s="906">
        <f t="shared" si="0"/>
        <v>219.56903500529103</v>
      </c>
      <c r="F16" s="906">
        <v>500</v>
      </c>
      <c r="G16" s="906">
        <v>500</v>
      </c>
    </row>
    <row r="17" spans="1:7" ht="18">
      <c r="A17" s="878" t="s">
        <v>882</v>
      </c>
      <c r="B17" s="881">
        <f>zapallo!B35</f>
        <v>15000</v>
      </c>
      <c r="C17" s="880" t="s">
        <v>885</v>
      </c>
      <c r="D17" s="879">
        <f>zapallo!E32</f>
        <v>1594101.5382608694</v>
      </c>
      <c r="E17" s="906">
        <f t="shared" si="0"/>
        <v>106.27343588405796</v>
      </c>
      <c r="F17" s="906">
        <v>175</v>
      </c>
      <c r="G17" s="906">
        <v>100</v>
      </c>
    </row>
    <row r="18" spans="1:7">
      <c r="E18" s="890"/>
    </row>
    <row r="19" spans="1:7">
      <c r="A19" s="882" t="s">
        <v>1312</v>
      </c>
    </row>
    <row r="20" spans="1:7">
      <c r="A20" s="882" t="s">
        <v>1176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H164"/>
  <sheetViews>
    <sheetView topLeftCell="A27" workbookViewId="0">
      <selection activeCell="G48" sqref="G48"/>
    </sheetView>
  </sheetViews>
  <sheetFormatPr baseColWidth="10" defaultRowHeight="12.75"/>
  <cols>
    <col min="2" max="2" width="14.7109375" customWidth="1"/>
    <col min="4" max="4" width="18.140625" customWidth="1"/>
    <col min="5" max="6" width="13.7109375" customWidth="1"/>
  </cols>
  <sheetData>
    <row r="1" spans="1:7" ht="18">
      <c r="A1" s="909" t="s">
        <v>895</v>
      </c>
      <c r="B1" s="909"/>
      <c r="C1" s="909"/>
      <c r="D1" s="909"/>
      <c r="E1" s="909"/>
      <c r="F1" s="909"/>
    </row>
    <row r="3" spans="1:7" ht="15.75">
      <c r="A3" s="910" t="s">
        <v>896</v>
      </c>
      <c r="B3" s="910"/>
    </row>
    <row r="4" spans="1:7" ht="15.75">
      <c r="A4" s="910"/>
      <c r="B4" s="910"/>
    </row>
    <row r="5" spans="1:7" ht="13.5" thickBot="1">
      <c r="A5" s="911"/>
      <c r="B5" s="911"/>
      <c r="C5" s="911"/>
      <c r="D5" s="911"/>
      <c r="E5" s="911"/>
      <c r="F5" s="911"/>
    </row>
    <row r="6" spans="1:7" ht="13.5" thickBot="1">
      <c r="A6" s="912" t="s">
        <v>897</v>
      </c>
      <c r="B6" s="912"/>
      <c r="C6" s="913" t="s">
        <v>898</v>
      </c>
      <c r="D6" s="912"/>
      <c r="E6" s="914" t="s">
        <v>899</v>
      </c>
      <c r="F6" s="914" t="s">
        <v>900</v>
      </c>
      <c r="G6" s="915"/>
    </row>
    <row r="7" spans="1:7">
      <c r="C7" s="915"/>
      <c r="E7" s="111"/>
      <c r="F7" s="111"/>
      <c r="G7" s="915"/>
    </row>
    <row r="8" spans="1:7">
      <c r="A8" t="s">
        <v>901</v>
      </c>
      <c r="C8" s="915" t="s">
        <v>902</v>
      </c>
      <c r="E8" s="111" t="s">
        <v>903</v>
      </c>
      <c r="F8" s="916">
        <v>4875</v>
      </c>
      <c r="G8" s="915"/>
    </row>
    <row r="9" spans="1:7">
      <c r="A9" t="s">
        <v>904</v>
      </c>
      <c r="C9" s="915" t="s">
        <v>905</v>
      </c>
      <c r="E9" s="111" t="s">
        <v>906</v>
      </c>
      <c r="F9" s="916">
        <v>6475</v>
      </c>
      <c r="G9" s="915"/>
    </row>
    <row r="10" spans="1:7">
      <c r="A10" t="s">
        <v>907</v>
      </c>
      <c r="C10" s="915" t="s">
        <v>908</v>
      </c>
      <c r="E10" s="111" t="s">
        <v>909</v>
      </c>
      <c r="F10" s="916">
        <v>4095</v>
      </c>
      <c r="G10" s="915"/>
    </row>
    <row r="11" spans="1:7">
      <c r="A11" t="s">
        <v>910</v>
      </c>
      <c r="C11" s="915" t="s">
        <v>908</v>
      </c>
      <c r="E11" s="111" t="s">
        <v>909</v>
      </c>
      <c r="F11" s="916">
        <v>4645</v>
      </c>
      <c r="G11" s="915"/>
    </row>
    <row r="12" spans="1:7">
      <c r="A12" t="s">
        <v>119</v>
      </c>
      <c r="C12" s="915" t="s">
        <v>908</v>
      </c>
      <c r="E12" s="111" t="s">
        <v>903</v>
      </c>
      <c r="F12" s="916">
        <v>3500</v>
      </c>
      <c r="G12" s="915"/>
    </row>
    <row r="13" spans="1:7">
      <c r="A13" t="s">
        <v>911</v>
      </c>
      <c r="C13" s="915" t="s">
        <v>912</v>
      </c>
      <c r="E13" s="111" t="s">
        <v>913</v>
      </c>
      <c r="F13" s="916">
        <v>4550</v>
      </c>
      <c r="G13" s="915"/>
    </row>
    <row r="14" spans="1:7">
      <c r="A14" t="s">
        <v>914</v>
      </c>
      <c r="C14" s="915" t="s">
        <v>915</v>
      </c>
      <c r="E14" s="111" t="s">
        <v>906</v>
      </c>
      <c r="F14" s="916">
        <v>18230</v>
      </c>
      <c r="G14" s="915"/>
    </row>
    <row r="15" spans="1:7">
      <c r="A15" t="s">
        <v>916</v>
      </c>
      <c r="C15" s="915" t="s">
        <v>917</v>
      </c>
      <c r="E15" s="111" t="s">
        <v>913</v>
      </c>
      <c r="F15" s="916">
        <v>15500</v>
      </c>
      <c r="G15" s="915"/>
    </row>
    <row r="16" spans="1:7">
      <c r="A16" t="s">
        <v>918</v>
      </c>
      <c r="C16" s="915" t="s">
        <v>919</v>
      </c>
      <c r="E16" s="111" t="s">
        <v>906</v>
      </c>
      <c r="F16" s="916">
        <v>7000</v>
      </c>
      <c r="G16" s="915"/>
    </row>
    <row r="17" spans="1:7">
      <c r="A17" t="s">
        <v>920</v>
      </c>
      <c r="C17" s="915" t="s">
        <v>921</v>
      </c>
      <c r="E17" s="111" t="s">
        <v>884</v>
      </c>
      <c r="F17" s="916">
        <v>17500</v>
      </c>
      <c r="G17" s="915"/>
    </row>
    <row r="18" spans="1:7">
      <c r="A18" t="s">
        <v>922</v>
      </c>
      <c r="C18" s="915" t="s">
        <v>923</v>
      </c>
      <c r="E18" s="111" t="s">
        <v>906</v>
      </c>
      <c r="F18" s="916">
        <v>21800</v>
      </c>
      <c r="G18" s="915"/>
    </row>
    <row r="19" spans="1:7">
      <c r="A19" t="s">
        <v>924</v>
      </c>
      <c r="C19" s="915" t="s">
        <v>925</v>
      </c>
      <c r="E19" s="111" t="s">
        <v>926</v>
      </c>
      <c r="F19" s="916">
        <v>8090</v>
      </c>
      <c r="G19" s="915"/>
    </row>
    <row r="20" spans="1:7">
      <c r="A20" t="s">
        <v>927</v>
      </c>
      <c r="C20" s="915" t="s">
        <v>928</v>
      </c>
      <c r="E20" s="111" t="s">
        <v>929</v>
      </c>
      <c r="F20" s="916">
        <v>3285</v>
      </c>
      <c r="G20" s="915"/>
    </row>
    <row r="21" spans="1:7">
      <c r="A21" t="s">
        <v>930</v>
      </c>
      <c r="C21" s="915" t="s">
        <v>931</v>
      </c>
      <c r="E21" s="111" t="s">
        <v>913</v>
      </c>
      <c r="F21" s="916">
        <v>3260</v>
      </c>
      <c r="G21" s="915"/>
    </row>
    <row r="22" spans="1:7">
      <c r="A22" t="s">
        <v>932</v>
      </c>
      <c r="C22" s="915" t="s">
        <v>933</v>
      </c>
      <c r="E22" s="111" t="s">
        <v>913</v>
      </c>
      <c r="F22" s="916">
        <v>9635</v>
      </c>
      <c r="G22" s="915"/>
    </row>
    <row r="23" spans="1:7">
      <c r="A23" s="923" t="s">
        <v>934</v>
      </c>
      <c r="B23" s="923"/>
      <c r="C23" s="955" t="s">
        <v>935</v>
      </c>
      <c r="D23" s="923"/>
      <c r="E23" s="956" t="s">
        <v>913</v>
      </c>
      <c r="F23" s="956" t="s">
        <v>936</v>
      </c>
      <c r="G23" s="955" t="s">
        <v>1093</v>
      </c>
    </row>
    <row r="24" spans="1:7">
      <c r="A24" t="s">
        <v>937</v>
      </c>
      <c r="C24" s="915" t="s">
        <v>938</v>
      </c>
      <c r="E24" s="111" t="s">
        <v>906</v>
      </c>
      <c r="F24" s="916">
        <v>35000</v>
      </c>
      <c r="G24" s="915"/>
    </row>
    <row r="25" spans="1:7">
      <c r="A25" t="s">
        <v>939</v>
      </c>
      <c r="C25" s="915" t="s">
        <v>940</v>
      </c>
      <c r="E25" s="111" t="s">
        <v>906</v>
      </c>
      <c r="F25" s="916">
        <v>16100</v>
      </c>
      <c r="G25" s="915"/>
    </row>
    <row r="26" spans="1:7">
      <c r="A26" t="s">
        <v>941</v>
      </c>
      <c r="C26" s="915" t="s">
        <v>942</v>
      </c>
      <c r="E26" s="111" t="s">
        <v>884</v>
      </c>
      <c r="F26" s="916">
        <v>10200</v>
      </c>
      <c r="G26" s="915"/>
    </row>
    <row r="27" spans="1:7">
      <c r="A27" t="s">
        <v>943</v>
      </c>
      <c r="B27" s="923"/>
      <c r="C27" s="955" t="s">
        <v>944</v>
      </c>
      <c r="D27" s="923"/>
      <c r="E27" s="956" t="s">
        <v>906</v>
      </c>
      <c r="F27" s="964">
        <v>4265</v>
      </c>
      <c r="G27" s="955" t="s">
        <v>1093</v>
      </c>
    </row>
    <row r="28" spans="1:7">
      <c r="C28" s="915"/>
      <c r="E28" s="111"/>
      <c r="F28" s="111"/>
      <c r="G28" s="915"/>
    </row>
    <row r="29" spans="1:7" ht="13.5" thickBot="1">
      <c r="A29" s="911"/>
      <c r="B29" s="911"/>
      <c r="C29" s="917"/>
      <c r="D29" s="911"/>
      <c r="E29" s="918"/>
      <c r="F29" s="918"/>
      <c r="G29" s="915"/>
    </row>
    <row r="32" spans="1:7" ht="15.75">
      <c r="A32" s="910" t="s">
        <v>945</v>
      </c>
      <c r="B32" s="910"/>
      <c r="C32" s="910"/>
      <c r="D32" s="910"/>
      <c r="E32" s="919"/>
    </row>
    <row r="34" spans="1:7" ht="13.5" thickBot="1">
      <c r="A34" s="911"/>
      <c r="B34" s="911"/>
      <c r="C34" s="911"/>
      <c r="D34" s="911"/>
      <c r="E34" s="911"/>
      <c r="F34" s="911"/>
    </row>
    <row r="35" spans="1:7" ht="13.5" thickBot="1">
      <c r="A35" s="912" t="s">
        <v>897</v>
      </c>
      <c r="B35" s="912"/>
      <c r="C35" s="913" t="s">
        <v>898</v>
      </c>
      <c r="D35" s="912"/>
      <c r="E35" s="914" t="s">
        <v>899</v>
      </c>
      <c r="F35" s="914" t="s">
        <v>900</v>
      </c>
      <c r="G35" s="915"/>
    </row>
    <row r="36" spans="1:7">
      <c r="C36" s="915"/>
      <c r="E36" s="111"/>
      <c r="F36" s="111"/>
      <c r="G36" s="915"/>
    </row>
    <row r="37" spans="1:7">
      <c r="A37" s="1130" t="s">
        <v>946</v>
      </c>
      <c r="B37" s="1130"/>
      <c r="C37" s="1131" t="s">
        <v>947</v>
      </c>
      <c r="D37" s="1130"/>
      <c r="E37" s="1132" t="s">
        <v>948</v>
      </c>
      <c r="F37" s="1133">
        <v>16000</v>
      </c>
      <c r="G37" s="1134" t="s">
        <v>1080</v>
      </c>
    </row>
    <row r="38" spans="1:7">
      <c r="A38" t="s">
        <v>949</v>
      </c>
      <c r="C38" s="915" t="s">
        <v>950</v>
      </c>
      <c r="E38" s="111" t="s">
        <v>913</v>
      </c>
      <c r="F38" s="916">
        <v>7580</v>
      </c>
      <c r="G38" s="915"/>
    </row>
    <row r="39" spans="1:7">
      <c r="A39" t="s">
        <v>951</v>
      </c>
      <c r="C39" s="915" t="s">
        <v>952</v>
      </c>
      <c r="E39" s="111" t="s">
        <v>953</v>
      </c>
      <c r="F39" s="916">
        <v>6910</v>
      </c>
      <c r="G39" s="915"/>
    </row>
    <row r="40" spans="1:7">
      <c r="A40" t="s">
        <v>954</v>
      </c>
      <c r="C40" s="915" t="s">
        <v>955</v>
      </c>
      <c r="E40" s="111" t="s">
        <v>906</v>
      </c>
      <c r="F40" s="916">
        <v>25820</v>
      </c>
      <c r="G40" s="915"/>
    </row>
    <row r="41" spans="1:7">
      <c r="A41" s="53" t="s">
        <v>956</v>
      </c>
      <c r="B41" s="53"/>
      <c r="C41" s="999" t="s">
        <v>512</v>
      </c>
      <c r="D41" s="53"/>
      <c r="E41" s="1000" t="s">
        <v>906</v>
      </c>
      <c r="F41" s="1001">
        <v>80890</v>
      </c>
      <c r="G41" s="915"/>
    </row>
    <row r="42" spans="1:7">
      <c r="A42" t="s">
        <v>957</v>
      </c>
      <c r="C42" s="915" t="s">
        <v>958</v>
      </c>
      <c r="E42" s="111" t="s">
        <v>906</v>
      </c>
      <c r="F42" s="916">
        <v>15810</v>
      </c>
      <c r="G42" s="915"/>
    </row>
    <row r="43" spans="1:7">
      <c r="A43" s="53" t="s">
        <v>959</v>
      </c>
      <c r="B43" s="53"/>
      <c r="C43" s="915" t="s">
        <v>960</v>
      </c>
      <c r="E43" s="111" t="s">
        <v>906</v>
      </c>
      <c r="F43" s="916">
        <v>14615</v>
      </c>
      <c r="G43" s="915"/>
    </row>
    <row r="44" spans="1:7">
      <c r="A44" t="s">
        <v>961</v>
      </c>
      <c r="C44" s="915" t="s">
        <v>962</v>
      </c>
      <c r="E44" s="111" t="s">
        <v>906</v>
      </c>
      <c r="F44" s="916">
        <v>13300</v>
      </c>
      <c r="G44" s="915"/>
    </row>
    <row r="45" spans="1:7">
      <c r="A45" s="953" t="s">
        <v>963</v>
      </c>
      <c r="B45" s="953"/>
      <c r="C45" s="955" t="s">
        <v>964</v>
      </c>
      <c r="D45" s="923"/>
      <c r="E45" s="956" t="s">
        <v>906</v>
      </c>
      <c r="F45" s="111"/>
      <c r="G45" s="915"/>
    </row>
    <row r="46" spans="1:7">
      <c r="A46" t="s">
        <v>965</v>
      </c>
      <c r="C46" s="915" t="s">
        <v>966</v>
      </c>
      <c r="E46" s="111" t="s">
        <v>948</v>
      </c>
      <c r="F46" s="916">
        <v>26500</v>
      </c>
      <c r="G46" s="915"/>
    </row>
    <row r="47" spans="1:7">
      <c r="A47" s="1257" t="s">
        <v>967</v>
      </c>
      <c r="B47" s="1257"/>
      <c r="C47" s="1258" t="s">
        <v>968</v>
      </c>
      <c r="D47" s="1259"/>
      <c r="E47" s="1260" t="s">
        <v>906</v>
      </c>
      <c r="F47" s="1261"/>
      <c r="G47" s="922" t="s">
        <v>1302</v>
      </c>
    </row>
    <row r="48" spans="1:7">
      <c r="A48" t="s">
        <v>969</v>
      </c>
      <c r="C48" s="915" t="s">
        <v>970</v>
      </c>
      <c r="E48" s="111" t="s">
        <v>906</v>
      </c>
      <c r="F48" s="916">
        <v>13610</v>
      </c>
      <c r="G48" s="915"/>
    </row>
    <row r="49" spans="1:7">
      <c r="A49" s="953" t="s">
        <v>971</v>
      </c>
      <c r="B49" s="953"/>
      <c r="C49" s="955" t="s">
        <v>972</v>
      </c>
      <c r="D49" s="923"/>
      <c r="E49" s="956" t="s">
        <v>973</v>
      </c>
      <c r="F49" s="111"/>
      <c r="G49" s="915"/>
    </row>
    <row r="50" spans="1:7">
      <c r="A50" t="s">
        <v>974</v>
      </c>
      <c r="C50" s="915" t="s">
        <v>975</v>
      </c>
      <c r="E50" s="111" t="s">
        <v>948</v>
      </c>
      <c r="F50" s="916">
        <v>50686</v>
      </c>
      <c r="G50" s="915"/>
    </row>
    <row r="51" spans="1:7">
      <c r="A51" t="s">
        <v>976</v>
      </c>
      <c r="C51" s="915" t="s">
        <v>977</v>
      </c>
      <c r="E51" s="111" t="s">
        <v>906</v>
      </c>
      <c r="F51" s="916">
        <v>5315</v>
      </c>
      <c r="G51" s="915"/>
    </row>
    <row r="52" spans="1:7">
      <c r="A52" t="s">
        <v>978</v>
      </c>
      <c r="C52" s="915" t="s">
        <v>947</v>
      </c>
      <c r="E52" s="111" t="s">
        <v>906</v>
      </c>
      <c r="F52" s="916">
        <v>8200</v>
      </c>
      <c r="G52" s="915"/>
    </row>
    <row r="53" spans="1:7">
      <c r="A53" t="s">
        <v>979</v>
      </c>
      <c r="C53" s="915" t="s">
        <v>980</v>
      </c>
      <c r="E53" s="111" t="s">
        <v>906</v>
      </c>
      <c r="F53" s="916">
        <v>7520</v>
      </c>
      <c r="G53" s="915"/>
    </row>
    <row r="54" spans="1:7">
      <c r="C54" s="915"/>
      <c r="E54" s="111"/>
      <c r="F54" s="111"/>
      <c r="G54" s="915"/>
    </row>
    <row r="55" spans="1:7">
      <c r="C55" s="915"/>
      <c r="E55" s="111"/>
      <c r="F55" s="111"/>
      <c r="G55" s="915"/>
    </row>
    <row r="56" spans="1:7" ht="13.5" thickBot="1">
      <c r="A56" s="911"/>
      <c r="B56" s="911"/>
      <c r="C56" s="917"/>
      <c r="D56" s="911"/>
      <c r="E56" s="918"/>
      <c r="F56" s="918"/>
      <c r="G56" s="915"/>
    </row>
    <row r="57" spans="1:7">
      <c r="A57" t="s">
        <v>981</v>
      </c>
    </row>
    <row r="58" spans="1:7">
      <c r="A58" t="s">
        <v>982</v>
      </c>
    </row>
    <row r="59" spans="1:7">
      <c r="A59" s="53" t="s">
        <v>983</v>
      </c>
      <c r="B59" s="53"/>
      <c r="C59" s="53"/>
    </row>
    <row r="60" spans="1:7">
      <c r="A60" s="53"/>
      <c r="B60" s="53"/>
      <c r="C60" s="53"/>
    </row>
    <row r="61" spans="1:7">
      <c r="A61" s="53"/>
      <c r="B61" s="53"/>
      <c r="C61" s="53"/>
    </row>
    <row r="63" spans="1:7" ht="15.75">
      <c r="A63" s="910" t="s">
        <v>984</v>
      </c>
      <c r="B63" s="910"/>
      <c r="C63" s="910"/>
    </row>
    <row r="65" spans="1:7" ht="13.5" thickBot="1">
      <c r="A65" s="911"/>
      <c r="B65" s="911"/>
      <c r="C65" s="911"/>
      <c r="D65" s="911"/>
      <c r="E65" s="911"/>
      <c r="F65" s="911"/>
    </row>
    <row r="66" spans="1:7" ht="13.5" thickBot="1">
      <c r="A66" s="912" t="s">
        <v>897</v>
      </c>
      <c r="B66" s="912"/>
      <c r="C66" s="913" t="s">
        <v>898</v>
      </c>
      <c r="D66" s="912"/>
      <c r="E66" s="914" t="s">
        <v>899</v>
      </c>
      <c r="F66" s="914" t="s">
        <v>900</v>
      </c>
      <c r="G66" s="915"/>
    </row>
    <row r="67" spans="1:7">
      <c r="C67" s="915"/>
      <c r="E67" s="915"/>
      <c r="F67" s="915"/>
      <c r="G67" s="915"/>
    </row>
    <row r="68" spans="1:7">
      <c r="A68" s="958" t="s">
        <v>985</v>
      </c>
      <c r="B68" s="958"/>
      <c r="C68" s="961" t="s">
        <v>986</v>
      </c>
      <c r="D68" s="958"/>
      <c r="E68" s="966" t="s">
        <v>906</v>
      </c>
      <c r="F68" s="967">
        <v>9670</v>
      </c>
      <c r="G68" s="922" t="s">
        <v>1095</v>
      </c>
    </row>
    <row r="69" spans="1:7">
      <c r="A69" s="958" t="s">
        <v>987</v>
      </c>
      <c r="B69" s="958"/>
      <c r="C69" s="961" t="s">
        <v>986</v>
      </c>
      <c r="D69" s="958"/>
      <c r="E69" s="966" t="s">
        <v>906</v>
      </c>
      <c r="F69" s="967">
        <v>7680</v>
      </c>
      <c r="G69" s="915"/>
    </row>
    <row r="70" spans="1:7">
      <c r="A70" t="s">
        <v>988</v>
      </c>
      <c r="C70" s="915" t="s">
        <v>986</v>
      </c>
      <c r="E70" s="111" t="s">
        <v>906</v>
      </c>
      <c r="F70" s="916">
        <v>9035</v>
      </c>
      <c r="G70" s="915"/>
    </row>
    <row r="71" spans="1:7">
      <c r="A71" t="s">
        <v>989</v>
      </c>
      <c r="C71" s="915" t="s">
        <v>986</v>
      </c>
      <c r="E71" s="111" t="s">
        <v>906</v>
      </c>
      <c r="F71" s="916">
        <v>7900</v>
      </c>
      <c r="G71" s="915"/>
    </row>
    <row r="72" spans="1:7">
      <c r="A72" t="s">
        <v>990</v>
      </c>
      <c r="C72" s="915" t="s">
        <v>991</v>
      </c>
      <c r="E72" s="111" t="s">
        <v>884</v>
      </c>
      <c r="F72" s="916">
        <v>1950</v>
      </c>
      <c r="G72" s="915"/>
    </row>
    <row r="73" spans="1:7">
      <c r="A73" t="s">
        <v>992</v>
      </c>
      <c r="C73" s="915" t="s">
        <v>993</v>
      </c>
      <c r="E73" s="111" t="s">
        <v>884</v>
      </c>
      <c r="F73" s="111">
        <v>600</v>
      </c>
      <c r="G73" s="915"/>
    </row>
    <row r="74" spans="1:7">
      <c r="A74" t="s">
        <v>994</v>
      </c>
      <c r="C74" s="915" t="s">
        <v>995</v>
      </c>
      <c r="E74" s="111" t="s">
        <v>996</v>
      </c>
      <c r="F74" s="916">
        <v>4750</v>
      </c>
      <c r="G74" s="915"/>
    </row>
    <row r="75" spans="1:7">
      <c r="A75" s="1127" t="s">
        <v>997</v>
      </c>
      <c r="B75" s="1127"/>
      <c r="C75" s="1128" t="s">
        <v>998</v>
      </c>
      <c r="D75" s="1127"/>
      <c r="E75" s="1129" t="s">
        <v>999</v>
      </c>
      <c r="F75" s="1126"/>
      <c r="G75" s="915"/>
    </row>
    <row r="76" spans="1:7">
      <c r="A76" t="s">
        <v>1000</v>
      </c>
      <c r="C76" s="915" t="s">
        <v>1001</v>
      </c>
      <c r="E76" s="111" t="s">
        <v>906</v>
      </c>
      <c r="F76" s="916">
        <v>4800</v>
      </c>
      <c r="G76" s="915"/>
    </row>
    <row r="77" spans="1:7">
      <c r="A77" t="s">
        <v>1002</v>
      </c>
      <c r="C77" s="915" t="s">
        <v>1003</v>
      </c>
      <c r="E77" s="111" t="s">
        <v>906</v>
      </c>
      <c r="F77" s="916">
        <v>14245</v>
      </c>
      <c r="G77" s="915"/>
    </row>
    <row r="78" spans="1:7">
      <c r="A78" t="s">
        <v>1004</v>
      </c>
      <c r="C78" s="915" t="s">
        <v>1005</v>
      </c>
      <c r="E78" s="111" t="s">
        <v>906</v>
      </c>
      <c r="F78" s="916">
        <v>18450</v>
      </c>
      <c r="G78" s="915"/>
    </row>
    <row r="79" spans="1:7">
      <c r="A79" t="s">
        <v>1006</v>
      </c>
      <c r="C79" s="915" t="s">
        <v>1007</v>
      </c>
      <c r="E79" s="111" t="s">
        <v>906</v>
      </c>
      <c r="F79" s="111" t="s">
        <v>1008</v>
      </c>
      <c r="G79" s="915"/>
    </row>
    <row r="80" spans="1:7">
      <c r="A80" t="s">
        <v>1009</v>
      </c>
      <c r="C80" s="915" t="s">
        <v>1010</v>
      </c>
      <c r="E80" s="111" t="s">
        <v>906</v>
      </c>
      <c r="F80" s="916">
        <v>18050</v>
      </c>
      <c r="G80" s="915"/>
    </row>
    <row r="81" spans="1:7">
      <c r="A81" t="s">
        <v>1011</v>
      </c>
      <c r="C81" s="915" t="s">
        <v>1012</v>
      </c>
      <c r="E81" s="111" t="s">
        <v>906</v>
      </c>
      <c r="F81" s="916">
        <v>4925</v>
      </c>
      <c r="G81" s="915"/>
    </row>
    <row r="82" spans="1:7">
      <c r="A82" t="s">
        <v>1013</v>
      </c>
      <c r="C82" s="915" t="s">
        <v>1014</v>
      </c>
      <c r="E82" s="111" t="s">
        <v>906</v>
      </c>
      <c r="F82" s="916">
        <v>2700</v>
      </c>
      <c r="G82" s="915"/>
    </row>
    <row r="83" spans="1:7">
      <c r="A83" t="s">
        <v>1015</v>
      </c>
      <c r="C83" s="915" t="s">
        <v>1016</v>
      </c>
      <c r="E83" s="111" t="s">
        <v>884</v>
      </c>
      <c r="F83" s="916">
        <v>2450</v>
      </c>
      <c r="G83" s="915"/>
    </row>
    <row r="84" spans="1:7">
      <c r="A84" t="s">
        <v>1017</v>
      </c>
      <c r="C84" s="915" t="s">
        <v>1018</v>
      </c>
      <c r="E84" s="111" t="s">
        <v>884</v>
      </c>
      <c r="F84" s="916">
        <v>3725</v>
      </c>
      <c r="G84" s="915"/>
    </row>
    <row r="85" spans="1:7">
      <c r="A85" t="s">
        <v>1019</v>
      </c>
      <c r="C85" s="915" t="s">
        <v>1020</v>
      </c>
      <c r="E85" s="111" t="s">
        <v>999</v>
      </c>
      <c r="F85" s="916">
        <v>1670</v>
      </c>
      <c r="G85" s="915"/>
    </row>
    <row r="86" spans="1:7">
      <c r="C86" s="915"/>
      <c r="E86" s="111"/>
      <c r="F86" s="111"/>
      <c r="G86" s="915"/>
    </row>
    <row r="87" spans="1:7" ht="13.5" thickBot="1">
      <c r="A87" s="911"/>
      <c r="B87" s="911"/>
      <c r="C87" s="917"/>
      <c r="D87" s="911"/>
      <c r="E87" s="918"/>
      <c r="F87" s="918"/>
      <c r="G87" s="915"/>
    </row>
    <row r="88" spans="1:7">
      <c r="A88" s="868" t="s">
        <v>1021</v>
      </c>
      <c r="B88" s="868"/>
      <c r="C88" s="868"/>
      <c r="D88" s="868"/>
    </row>
    <row r="93" spans="1:7" ht="15.75">
      <c r="A93" s="910" t="s">
        <v>1022</v>
      </c>
      <c r="B93" s="910"/>
    </row>
    <row r="95" spans="1:7" ht="13.5" thickBot="1">
      <c r="A95" s="911"/>
      <c r="B95" s="911"/>
      <c r="C95" s="911"/>
      <c r="D95" s="911"/>
      <c r="E95" s="911"/>
      <c r="F95" s="911"/>
    </row>
    <row r="96" spans="1:7" ht="13.5" thickBot="1">
      <c r="A96" s="912" t="s">
        <v>897</v>
      </c>
      <c r="B96" s="912"/>
      <c r="C96" s="913" t="s">
        <v>898</v>
      </c>
      <c r="D96" s="912"/>
      <c r="E96" s="914" t="s">
        <v>899</v>
      </c>
      <c r="F96" s="914" t="s">
        <v>900</v>
      </c>
      <c r="G96" s="915"/>
    </row>
    <row r="97" spans="1:7">
      <c r="C97" s="915"/>
      <c r="E97" s="915"/>
      <c r="F97" s="915"/>
      <c r="G97" s="915"/>
    </row>
    <row r="98" spans="1:7">
      <c r="A98" t="s">
        <v>1023</v>
      </c>
      <c r="C98" s="915" t="s">
        <v>1024</v>
      </c>
      <c r="E98" s="111" t="s">
        <v>906</v>
      </c>
      <c r="F98" s="916">
        <v>8635</v>
      </c>
      <c r="G98" s="915"/>
    </row>
    <row r="99" spans="1:7">
      <c r="A99" t="s">
        <v>1025</v>
      </c>
      <c r="C99" s="915" t="s">
        <v>1026</v>
      </c>
      <c r="E99" s="111" t="s">
        <v>913</v>
      </c>
      <c r="F99" s="916">
        <v>5695</v>
      </c>
      <c r="G99" s="915"/>
    </row>
    <row r="100" spans="1:7">
      <c r="A100" t="s">
        <v>1027</v>
      </c>
      <c r="C100" s="915" t="s">
        <v>1028</v>
      </c>
      <c r="E100" s="111" t="s">
        <v>906</v>
      </c>
      <c r="F100" s="916">
        <v>20710</v>
      </c>
      <c r="G100" s="915"/>
    </row>
    <row r="101" spans="1:7">
      <c r="A101" t="s">
        <v>1029</v>
      </c>
      <c r="C101" s="915" t="s">
        <v>1030</v>
      </c>
      <c r="E101" s="111" t="s">
        <v>906</v>
      </c>
      <c r="F101" s="916">
        <v>2620</v>
      </c>
      <c r="G101" s="915"/>
    </row>
    <row r="102" spans="1:7">
      <c r="A102" t="s">
        <v>1031</v>
      </c>
      <c r="C102" s="915" t="s">
        <v>1032</v>
      </c>
      <c r="E102" s="111" t="s">
        <v>884</v>
      </c>
      <c r="F102" s="111" t="s">
        <v>1033</v>
      </c>
      <c r="G102" s="915"/>
    </row>
    <row r="103" spans="1:7">
      <c r="A103" s="53" t="s">
        <v>1034</v>
      </c>
      <c r="B103" s="53"/>
      <c r="C103" s="915" t="s">
        <v>1035</v>
      </c>
      <c r="E103" s="111" t="s">
        <v>906</v>
      </c>
      <c r="F103" s="916">
        <v>3600</v>
      </c>
      <c r="G103" s="915"/>
    </row>
    <row r="104" spans="1:7">
      <c r="C104" s="915"/>
      <c r="E104" s="111"/>
      <c r="F104" s="111"/>
      <c r="G104" s="915"/>
    </row>
    <row r="105" spans="1:7">
      <c r="C105" s="915"/>
      <c r="E105" s="111"/>
      <c r="F105" s="111"/>
      <c r="G105" s="915"/>
    </row>
    <row r="106" spans="1:7">
      <c r="C106" s="915"/>
      <c r="E106" s="111"/>
      <c r="F106" s="111"/>
      <c r="G106" s="915"/>
    </row>
    <row r="107" spans="1:7" ht="13.5" thickBot="1">
      <c r="A107" s="911"/>
      <c r="B107" s="911"/>
      <c r="C107" s="917"/>
      <c r="D107" s="911"/>
      <c r="E107" s="918"/>
      <c r="F107" s="918"/>
      <c r="G107" s="915"/>
    </row>
    <row r="108" spans="1:7">
      <c r="A108" s="53" t="s">
        <v>1036</v>
      </c>
      <c r="B108" s="53"/>
      <c r="C108" s="53"/>
    </row>
    <row r="112" spans="1:7" ht="15.75">
      <c r="A112" s="877" t="s">
        <v>1037</v>
      </c>
      <c r="B112" s="877"/>
      <c r="C112" s="877"/>
      <c r="D112" s="877"/>
      <c r="E112" s="877"/>
    </row>
    <row r="114" spans="1:7" ht="13.5" thickBot="1">
      <c r="A114" s="911"/>
      <c r="B114" s="911"/>
      <c r="C114" s="911"/>
      <c r="D114" s="911"/>
      <c r="E114" s="911"/>
      <c r="F114" s="911"/>
    </row>
    <row r="115" spans="1:7" ht="13.5" thickBot="1">
      <c r="A115" s="912" t="s">
        <v>897</v>
      </c>
      <c r="B115" s="912"/>
      <c r="C115" s="913" t="s">
        <v>898</v>
      </c>
      <c r="D115" s="912"/>
      <c r="E115" s="914" t="s">
        <v>899</v>
      </c>
      <c r="F115" s="914" t="s">
        <v>900</v>
      </c>
      <c r="G115" s="915"/>
    </row>
    <row r="116" spans="1:7">
      <c r="C116" s="915"/>
      <c r="E116" s="915"/>
      <c r="F116" s="915"/>
      <c r="G116" s="915"/>
    </row>
    <row r="117" spans="1:7">
      <c r="A117" t="s">
        <v>1038</v>
      </c>
      <c r="C117" s="915" t="s">
        <v>1039</v>
      </c>
      <c r="E117" s="111" t="s">
        <v>906</v>
      </c>
      <c r="F117" s="916">
        <v>5925</v>
      </c>
      <c r="G117" s="915"/>
    </row>
    <row r="118" spans="1:7">
      <c r="A118" t="s">
        <v>1040</v>
      </c>
      <c r="C118" s="915" t="s">
        <v>1041</v>
      </c>
      <c r="E118" s="111" t="s">
        <v>906</v>
      </c>
      <c r="F118" s="916">
        <v>4790</v>
      </c>
      <c r="G118" s="915"/>
    </row>
    <row r="119" spans="1:7">
      <c r="A119" t="s">
        <v>1042</v>
      </c>
      <c r="C119" s="915" t="s">
        <v>1043</v>
      </c>
      <c r="E119" s="111" t="s">
        <v>906</v>
      </c>
      <c r="F119" s="916">
        <v>2505</v>
      </c>
      <c r="G119" s="915"/>
    </row>
    <row r="120" spans="1:7">
      <c r="C120" s="915"/>
      <c r="E120" s="111"/>
      <c r="F120" s="111"/>
      <c r="G120" s="915"/>
    </row>
    <row r="121" spans="1:7">
      <c r="C121" s="915"/>
      <c r="E121" s="111"/>
      <c r="F121" s="111"/>
      <c r="G121" s="915"/>
    </row>
    <row r="122" spans="1:7">
      <c r="C122" s="915"/>
      <c r="E122" s="111"/>
      <c r="F122" s="111"/>
      <c r="G122" s="915"/>
    </row>
    <row r="123" spans="1:7">
      <c r="C123" s="915"/>
      <c r="E123" s="111"/>
      <c r="F123" s="111"/>
      <c r="G123" s="915"/>
    </row>
    <row r="124" spans="1:7" ht="13.5" thickBot="1">
      <c r="A124" s="911"/>
      <c r="B124" s="911"/>
      <c r="C124" s="917"/>
      <c r="D124" s="911"/>
      <c r="E124" s="918"/>
      <c r="F124" s="918"/>
      <c r="G124" s="915"/>
    </row>
    <row r="127" spans="1:7" ht="15.75">
      <c r="A127" s="910" t="s">
        <v>1044</v>
      </c>
      <c r="B127" s="910"/>
      <c r="C127" s="919"/>
    </row>
    <row r="129" spans="1:7" ht="13.5" thickBot="1">
      <c r="A129" s="911"/>
      <c r="B129" s="911"/>
      <c r="C129" s="911"/>
      <c r="D129" s="911"/>
      <c r="E129" s="911"/>
      <c r="F129" s="911"/>
    </row>
    <row r="130" spans="1:7" ht="13.5" thickBot="1">
      <c r="A130" s="912" t="s">
        <v>897</v>
      </c>
      <c r="B130" s="912"/>
      <c r="C130" s="913" t="s">
        <v>898</v>
      </c>
      <c r="D130" s="912"/>
      <c r="E130" s="914" t="s">
        <v>899</v>
      </c>
      <c r="F130" s="914" t="s">
        <v>900</v>
      </c>
      <c r="G130" s="915"/>
    </row>
    <row r="131" spans="1:7">
      <c r="C131" s="915"/>
      <c r="E131" s="915"/>
      <c r="F131" s="915"/>
      <c r="G131" s="915"/>
    </row>
    <row r="132" spans="1:7">
      <c r="A132" t="s">
        <v>1045</v>
      </c>
      <c r="C132" s="915" t="s">
        <v>1046</v>
      </c>
      <c r="E132" s="111" t="s">
        <v>1047</v>
      </c>
      <c r="F132" s="916">
        <v>19000</v>
      </c>
      <c r="G132" s="915"/>
    </row>
    <row r="133" spans="1:7">
      <c r="A133" t="s">
        <v>1048</v>
      </c>
      <c r="C133" s="915" t="s">
        <v>1046</v>
      </c>
      <c r="E133" s="111" t="s">
        <v>1047</v>
      </c>
      <c r="F133" s="916">
        <v>15500</v>
      </c>
      <c r="G133" s="915"/>
    </row>
    <row r="134" spans="1:7">
      <c r="A134" t="s">
        <v>1049</v>
      </c>
      <c r="C134" s="915" t="s">
        <v>1050</v>
      </c>
      <c r="E134" s="111" t="s">
        <v>1047</v>
      </c>
      <c r="F134" s="916">
        <v>16000</v>
      </c>
      <c r="G134" s="915"/>
    </row>
    <row r="135" spans="1:7">
      <c r="A135" s="920" t="s">
        <v>1051</v>
      </c>
      <c r="C135" s="915" t="s">
        <v>1050</v>
      </c>
      <c r="E135" s="111" t="s">
        <v>1047</v>
      </c>
      <c r="F135" s="916">
        <v>16000</v>
      </c>
      <c r="G135" s="915"/>
    </row>
    <row r="136" spans="1:7">
      <c r="A136" t="s">
        <v>1052</v>
      </c>
      <c r="C136" s="915" t="s">
        <v>1053</v>
      </c>
      <c r="E136" s="111" t="s">
        <v>1047</v>
      </c>
      <c r="F136" s="916">
        <v>15000</v>
      </c>
      <c r="G136" s="915"/>
    </row>
    <row r="137" spans="1:7">
      <c r="A137" t="s">
        <v>1054</v>
      </c>
      <c r="C137" s="922" t="s">
        <v>1055</v>
      </c>
      <c r="E137" s="111" t="s">
        <v>1047</v>
      </c>
      <c r="F137" s="916">
        <v>18000</v>
      </c>
      <c r="G137" s="915"/>
    </row>
    <row r="138" spans="1:7">
      <c r="A138" t="s">
        <v>1056</v>
      </c>
      <c r="C138" s="915" t="s">
        <v>1057</v>
      </c>
      <c r="E138" s="111" t="s">
        <v>1047</v>
      </c>
      <c r="F138" s="916">
        <v>13500</v>
      </c>
      <c r="G138" s="915"/>
    </row>
    <row r="139" spans="1:7">
      <c r="C139" s="915"/>
      <c r="E139" s="111"/>
      <c r="F139" s="111"/>
      <c r="G139" s="915"/>
    </row>
    <row r="140" spans="1:7">
      <c r="C140" s="915"/>
      <c r="E140" s="111"/>
      <c r="F140" s="111"/>
      <c r="G140" s="915"/>
    </row>
    <row r="141" spans="1:7">
      <c r="C141" s="915"/>
      <c r="E141" s="111"/>
      <c r="F141" s="111"/>
      <c r="G141" s="915"/>
    </row>
    <row r="142" spans="1:7" ht="13.5" thickBot="1">
      <c r="A142" s="911"/>
      <c r="B142" s="911"/>
      <c r="C142" s="917"/>
      <c r="D142" s="911"/>
      <c r="E142" s="918"/>
      <c r="F142" s="918"/>
      <c r="G142" s="915"/>
    </row>
    <row r="143" spans="1:7">
      <c r="A143" t="s">
        <v>1058</v>
      </c>
    </row>
    <row r="148" spans="1:8" ht="15.75">
      <c r="A148" s="910" t="s">
        <v>1059</v>
      </c>
    </row>
    <row r="150" spans="1:8" ht="13.5" thickBot="1">
      <c r="A150" s="911"/>
      <c r="B150" s="911"/>
      <c r="C150" s="911"/>
      <c r="D150" s="911"/>
      <c r="E150" s="911"/>
      <c r="F150" s="911"/>
    </row>
    <row r="151" spans="1:8" ht="13.5" thickBot="1">
      <c r="A151" s="912" t="s">
        <v>897</v>
      </c>
      <c r="B151" s="912"/>
      <c r="C151" s="913" t="s">
        <v>898</v>
      </c>
      <c r="D151" s="912"/>
      <c r="E151" s="914" t="s">
        <v>899</v>
      </c>
      <c r="F151" s="914" t="s">
        <v>900</v>
      </c>
      <c r="G151" s="915"/>
    </row>
    <row r="152" spans="1:8">
      <c r="C152" s="915"/>
      <c r="E152" s="915"/>
      <c r="F152" s="915"/>
      <c r="G152" s="915"/>
    </row>
    <row r="153" spans="1:8">
      <c r="A153" t="s">
        <v>1060</v>
      </c>
      <c r="C153" s="915" t="s">
        <v>1061</v>
      </c>
      <c r="E153" s="111"/>
      <c r="F153" s="111" t="s">
        <v>1033</v>
      </c>
      <c r="G153" s="915"/>
    </row>
    <row r="154" spans="1:8">
      <c r="A154" t="s">
        <v>1062</v>
      </c>
      <c r="C154" s="915" t="s">
        <v>541</v>
      </c>
      <c r="E154" s="111" t="s">
        <v>105</v>
      </c>
      <c r="F154" s="916">
        <v>90000</v>
      </c>
      <c r="G154" s="915"/>
    </row>
    <row r="155" spans="1:8">
      <c r="A155" t="s">
        <v>1063</v>
      </c>
      <c r="C155" s="915" t="s">
        <v>1064</v>
      </c>
      <c r="E155" s="111" t="s">
        <v>1065</v>
      </c>
      <c r="F155" s="916">
        <v>131250</v>
      </c>
      <c r="G155" s="915">
        <v>2.2000000000000002</v>
      </c>
      <c r="H155" s="921">
        <f>G155*F155</f>
        <v>288750</v>
      </c>
    </row>
    <row r="156" spans="1:8">
      <c r="A156" t="s">
        <v>1066</v>
      </c>
      <c r="C156" s="915" t="s">
        <v>553</v>
      </c>
      <c r="E156" s="111" t="s">
        <v>1067</v>
      </c>
      <c r="F156" s="916">
        <v>4320</v>
      </c>
      <c r="G156" s="915"/>
    </row>
    <row r="157" spans="1:8">
      <c r="A157" t="s">
        <v>1068</v>
      </c>
      <c r="C157" s="915" t="s">
        <v>881</v>
      </c>
      <c r="E157" s="111" t="s">
        <v>884</v>
      </c>
      <c r="F157" s="916">
        <v>3100</v>
      </c>
      <c r="G157" s="915"/>
    </row>
    <row r="158" spans="1:8">
      <c r="A158" t="s">
        <v>1069</v>
      </c>
      <c r="C158" s="915" t="s">
        <v>1070</v>
      </c>
      <c r="E158" s="111" t="s">
        <v>884</v>
      </c>
      <c r="F158" s="916">
        <v>4325</v>
      </c>
      <c r="G158" s="915"/>
    </row>
    <row r="159" spans="1:8">
      <c r="C159" s="915"/>
      <c r="E159" s="111"/>
      <c r="F159" s="111"/>
      <c r="G159" s="915"/>
    </row>
    <row r="160" spans="1:8">
      <c r="C160" s="915"/>
      <c r="E160" s="111"/>
      <c r="F160" s="111"/>
      <c r="G160" s="915"/>
    </row>
    <row r="161" spans="1:7">
      <c r="C161" s="915"/>
      <c r="E161" s="111"/>
      <c r="F161" s="111"/>
      <c r="G161" s="915"/>
    </row>
    <row r="162" spans="1:7" ht="13.5" thickBot="1">
      <c r="A162" s="911"/>
      <c r="B162" s="911"/>
      <c r="C162" s="917"/>
      <c r="D162" s="911"/>
      <c r="E162" s="918"/>
      <c r="F162" s="918"/>
      <c r="G162" s="915"/>
    </row>
    <row r="164" spans="1:7">
      <c r="A164" t="s">
        <v>1071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O280"/>
  <sheetViews>
    <sheetView workbookViewId="0">
      <selection activeCell="A6" sqref="A6"/>
    </sheetView>
  </sheetViews>
  <sheetFormatPr baseColWidth="10" defaultRowHeight="12.75"/>
  <cols>
    <col min="1" max="1" width="38.7109375" customWidth="1"/>
    <col min="2" max="2" width="15" customWidth="1"/>
    <col min="3" max="3" width="11.7109375" customWidth="1"/>
    <col min="4" max="4" width="11.5703125" customWidth="1"/>
    <col min="5" max="5" width="10.5703125" customWidth="1"/>
    <col min="6" max="6" width="14.28515625" customWidth="1"/>
    <col min="7" max="7" width="13.140625" customWidth="1"/>
    <col min="8" max="8" width="12" customWidth="1"/>
    <col min="11" max="11" width="12.28515625" customWidth="1"/>
  </cols>
  <sheetData>
    <row r="1" spans="1:15">
      <c r="E1">
        <f>18*46</f>
        <v>828</v>
      </c>
      <c r="G1" s="676"/>
      <c r="H1" s="680" t="s">
        <v>635</v>
      </c>
      <c r="I1" s="676" t="s">
        <v>455</v>
      </c>
      <c r="J1" s="434" t="s">
        <v>845</v>
      </c>
      <c r="K1" s="434" t="s">
        <v>851</v>
      </c>
    </row>
    <row r="2" spans="1:15">
      <c r="A2" s="52" t="s">
        <v>92</v>
      </c>
      <c r="D2">
        <v>12000</v>
      </c>
      <c r="E2" t="s">
        <v>1179</v>
      </c>
      <c r="G2" s="676" t="s">
        <v>453</v>
      </c>
      <c r="H2" s="676" t="s">
        <v>454</v>
      </c>
      <c r="I2" s="677">
        <v>350000</v>
      </c>
      <c r="M2" s="457" t="s">
        <v>794</v>
      </c>
      <c r="N2" s="865" t="s">
        <v>857</v>
      </c>
      <c r="O2" s="868"/>
    </row>
    <row r="3" spans="1:15">
      <c r="A3" s="865" t="s">
        <v>93</v>
      </c>
      <c r="B3" s="1266">
        <v>42143</v>
      </c>
      <c r="C3" s="1195"/>
      <c r="D3">
        <f>D2/0.8</f>
        <v>15000</v>
      </c>
      <c r="E3" t="s">
        <v>1180</v>
      </c>
      <c r="G3" s="677">
        <v>5000</v>
      </c>
      <c r="H3" s="1148">
        <v>41335</v>
      </c>
      <c r="I3" s="676" t="s">
        <v>9</v>
      </c>
      <c r="K3" s="694" t="s">
        <v>641</v>
      </c>
      <c r="L3" s="695"/>
      <c r="M3" s="457" t="s">
        <v>859</v>
      </c>
      <c r="N3" s="869">
        <v>70000</v>
      </c>
      <c r="O3" s="868"/>
    </row>
    <row r="4" spans="1:15">
      <c r="A4" s="865" t="s">
        <v>94</v>
      </c>
      <c r="B4" s="1267">
        <v>538.54999999999995</v>
      </c>
      <c r="C4" s="865" t="s">
        <v>8</v>
      </c>
      <c r="E4" t="s">
        <v>9</v>
      </c>
      <c r="G4" s="676" t="s">
        <v>891</v>
      </c>
      <c r="H4" s="678">
        <f>H3/G3</f>
        <v>8.2669999999999995</v>
      </c>
      <c r="I4" s="676" t="s">
        <v>485</v>
      </c>
      <c r="K4" s="696" t="s">
        <v>850</v>
      </c>
      <c r="L4" s="451"/>
      <c r="M4" s="457" t="s">
        <v>860</v>
      </c>
      <c r="N4" s="869">
        <v>37605</v>
      </c>
      <c r="O4" s="868"/>
    </row>
    <row r="5" spans="1:15">
      <c r="G5" s="676"/>
      <c r="H5" s="679">
        <f>H4*I2</f>
        <v>2893450</v>
      </c>
      <c r="I5" s="676" t="s">
        <v>74</v>
      </c>
      <c r="M5" s="863" t="s">
        <v>861</v>
      </c>
      <c r="N5" s="870">
        <v>47635</v>
      </c>
      <c r="O5" s="868"/>
    </row>
    <row r="6" spans="1:15">
      <c r="A6" s="56" t="s">
        <v>95</v>
      </c>
      <c r="B6" s="56" t="s">
        <v>11</v>
      </c>
      <c r="C6" s="56" t="s">
        <v>96</v>
      </c>
      <c r="D6" s="56" t="s">
        <v>11</v>
      </c>
      <c r="E6" s="56" t="s">
        <v>96</v>
      </c>
      <c r="G6" s="437" t="s">
        <v>9</v>
      </c>
      <c r="H6" t="s">
        <v>9</v>
      </c>
      <c r="M6" s="866" t="s">
        <v>862</v>
      </c>
      <c r="N6" s="866" t="s">
        <v>863</v>
      </c>
      <c r="O6" s="867">
        <v>60000</v>
      </c>
    </row>
    <row r="7" spans="1:15">
      <c r="A7" s="830" t="s">
        <v>1111</v>
      </c>
      <c r="B7" s="58" t="s">
        <v>97</v>
      </c>
      <c r="C7" s="750">
        <v>18000</v>
      </c>
      <c r="D7" s="8"/>
      <c r="E7" s="8"/>
      <c r="G7" s="895" t="s">
        <v>1166</v>
      </c>
      <c r="H7" s="1031" t="s">
        <v>640</v>
      </c>
      <c r="I7" s="895" t="s">
        <v>455</v>
      </c>
      <c r="K7" s="60"/>
      <c r="L7" s="681" t="s">
        <v>858</v>
      </c>
      <c r="M7" s="864" t="s">
        <v>455</v>
      </c>
    </row>
    <row r="8" spans="1:15">
      <c r="A8" s="830" t="s">
        <v>1110</v>
      </c>
      <c r="B8" s="58" t="s">
        <v>97</v>
      </c>
      <c r="C8" s="750">
        <v>18000</v>
      </c>
      <c r="D8" s="8"/>
      <c r="E8" s="8"/>
      <c r="G8" s="895"/>
      <c r="H8" s="896"/>
      <c r="I8" s="895"/>
      <c r="K8" s="60"/>
      <c r="L8" s="681"/>
      <c r="M8" s="864"/>
    </row>
    <row r="9" spans="1:15">
      <c r="A9" s="1184" t="s">
        <v>1182</v>
      </c>
      <c r="B9" s="1177" t="s">
        <v>139</v>
      </c>
      <c r="C9" s="1178">
        <v>15000</v>
      </c>
      <c r="D9" s="1185" t="s">
        <v>870</v>
      </c>
      <c r="E9" s="1185">
        <v>600</v>
      </c>
      <c r="G9" s="1032" t="s">
        <v>453</v>
      </c>
      <c r="H9" s="1032" t="s">
        <v>454</v>
      </c>
      <c r="I9" s="1033">
        <v>350000</v>
      </c>
      <c r="K9" s="60" t="s">
        <v>453</v>
      </c>
      <c r="L9" s="60" t="s">
        <v>454</v>
      </c>
      <c r="M9" s="486">
        <v>300000</v>
      </c>
      <c r="N9" s="856" t="s">
        <v>846</v>
      </c>
      <c r="O9" s="660" t="s">
        <v>848</v>
      </c>
    </row>
    <row r="10" spans="1:15">
      <c r="A10" s="893" t="s">
        <v>716</v>
      </c>
      <c r="B10" s="883" t="s">
        <v>715</v>
      </c>
      <c r="C10" s="871">
        <v>14000</v>
      </c>
      <c r="D10" s="893" t="s">
        <v>714</v>
      </c>
      <c r="E10" s="943">
        <f>C10*2*6</f>
        <v>168000</v>
      </c>
      <c r="G10" s="1032" t="s">
        <v>1166</v>
      </c>
      <c r="H10" s="1032"/>
      <c r="I10" s="1033"/>
      <c r="K10" s="486">
        <v>100000</v>
      </c>
      <c r="L10" s="487">
        <v>98000</v>
      </c>
      <c r="M10" s="60" t="s">
        <v>9</v>
      </c>
      <c r="N10" s="856" t="s">
        <v>847</v>
      </c>
      <c r="O10" s="852"/>
    </row>
    <row r="11" spans="1:15">
      <c r="A11" s="57" t="s">
        <v>98</v>
      </c>
      <c r="B11" s="58" t="s">
        <v>99</v>
      </c>
      <c r="C11" s="428">
        <v>7883.82</v>
      </c>
      <c r="D11" s="17" t="s">
        <v>100</v>
      </c>
      <c r="E11" s="59">
        <f>C11/8</f>
        <v>985.47749999999996</v>
      </c>
      <c r="G11" s="1033">
        <v>5000</v>
      </c>
      <c r="H11" s="1149">
        <v>25314</v>
      </c>
      <c r="I11" s="1032" t="s">
        <v>9</v>
      </c>
      <c r="K11" s="486"/>
      <c r="L11" s="487"/>
      <c r="M11" s="60"/>
    </row>
    <row r="12" spans="1:15">
      <c r="A12" s="57" t="s">
        <v>101</v>
      </c>
      <c r="B12" s="58" t="s">
        <v>102</v>
      </c>
      <c r="C12" s="428">
        <v>7883.82</v>
      </c>
      <c r="D12" s="17" t="s">
        <v>100</v>
      </c>
      <c r="E12" s="59">
        <f>+C12/6</f>
        <v>1313.97</v>
      </c>
      <c r="G12" s="1032"/>
      <c r="H12" s="1034">
        <f>H11/G11</f>
        <v>5.0628000000000002</v>
      </c>
      <c r="I12" s="1032" t="s">
        <v>485</v>
      </c>
      <c r="K12" s="60"/>
      <c r="L12" s="489">
        <f>L10/K10</f>
        <v>0.98</v>
      </c>
      <c r="M12" s="60" t="s">
        <v>485</v>
      </c>
    </row>
    <row r="13" spans="1:15">
      <c r="A13" s="1176" t="s">
        <v>1233</v>
      </c>
      <c r="B13" s="1177" t="s">
        <v>764</v>
      </c>
      <c r="C13" s="1178">
        <v>15000</v>
      </c>
      <c r="D13" s="1179" t="s">
        <v>100</v>
      </c>
      <c r="E13" s="1178">
        <f>C13/8</f>
        <v>1875</v>
      </c>
      <c r="G13" s="1032"/>
      <c r="H13" s="1035">
        <f>H12*I9</f>
        <v>1771980</v>
      </c>
      <c r="I13" s="1032" t="s">
        <v>74</v>
      </c>
      <c r="K13" s="60"/>
      <c r="L13" s="488">
        <f>L12*M9</f>
        <v>294000</v>
      </c>
      <c r="M13" s="60" t="s">
        <v>74</v>
      </c>
    </row>
    <row r="14" spans="1:15">
      <c r="A14" s="57" t="s">
        <v>868</v>
      </c>
      <c r="B14" s="58" t="s">
        <v>762</v>
      </c>
      <c r="C14" s="428">
        <v>15000</v>
      </c>
      <c r="D14" s="17" t="s">
        <v>100</v>
      </c>
      <c r="E14" s="428">
        <f>C14/8</f>
        <v>1875</v>
      </c>
      <c r="G14" s="60"/>
      <c r="H14" s="687"/>
      <c r="I14" s="688"/>
      <c r="K14" s="752" t="s">
        <v>711</v>
      </c>
      <c r="L14" s="753">
        <v>420</v>
      </c>
      <c r="M14" s="751" t="s">
        <v>712</v>
      </c>
    </row>
    <row r="15" spans="1:15">
      <c r="A15" s="794" t="s">
        <v>733</v>
      </c>
      <c r="B15" s="58"/>
      <c r="C15" s="428" t="s">
        <v>9</v>
      </c>
      <c r="D15" s="17"/>
      <c r="E15" s="59" t="s">
        <v>9</v>
      </c>
      <c r="G15" s="60"/>
      <c r="H15" s="687"/>
      <c r="I15" s="688"/>
      <c r="K15" s="792"/>
      <c r="L15" s="753"/>
      <c r="M15" s="793"/>
    </row>
    <row r="16" spans="1:15">
      <c r="A16" s="661" t="s">
        <v>810</v>
      </c>
      <c r="B16" s="655" t="s">
        <v>1181</v>
      </c>
      <c r="C16" s="656">
        <v>800000</v>
      </c>
      <c r="D16" s="655" t="s">
        <v>105</v>
      </c>
      <c r="E16" s="657">
        <f>C16/18/46</f>
        <v>966.18357487922708</v>
      </c>
      <c r="F16" s="8" t="s">
        <v>9</v>
      </c>
      <c r="G16" s="437"/>
    </row>
    <row r="17" spans="1:13">
      <c r="A17" s="661" t="s">
        <v>1112</v>
      </c>
      <c r="B17" s="655" t="s">
        <v>1181</v>
      </c>
      <c r="C17" s="656">
        <v>600000</v>
      </c>
      <c r="D17" s="655" t="s">
        <v>105</v>
      </c>
      <c r="E17" s="657">
        <f>C17/18/46</f>
        <v>724.63768115942037</v>
      </c>
      <c r="F17" s="8" t="s">
        <v>9</v>
      </c>
      <c r="G17" s="8"/>
    </row>
    <row r="18" spans="1:13">
      <c r="A18" s="661" t="s">
        <v>735</v>
      </c>
      <c r="B18" s="655" t="s">
        <v>1181</v>
      </c>
      <c r="C18" s="656" t="s">
        <v>854</v>
      </c>
      <c r="D18" s="655" t="s">
        <v>105</v>
      </c>
      <c r="E18" s="657" t="e">
        <f>+C18/828</f>
        <v>#VALUE!</v>
      </c>
      <c r="F18" s="8"/>
      <c r="G18" s="8"/>
      <c r="J18" s="660"/>
      <c r="K18" s="681" t="s">
        <v>534</v>
      </c>
      <c r="L18" s="660" t="s">
        <v>455</v>
      </c>
    </row>
    <row r="19" spans="1:13">
      <c r="A19" s="57" t="s">
        <v>736</v>
      </c>
      <c r="B19" s="697" t="s">
        <v>105</v>
      </c>
      <c r="C19" s="428">
        <f>58000/0.42</f>
        <v>138095.23809523811</v>
      </c>
      <c r="D19" s="857" t="s">
        <v>797</v>
      </c>
      <c r="E19" s="656">
        <f>O6</f>
        <v>60000</v>
      </c>
      <c r="F19" s="8"/>
      <c r="G19" s="8"/>
      <c r="J19" s="660"/>
      <c r="K19" s="681" t="s">
        <v>799</v>
      </c>
      <c r="L19" s="660"/>
    </row>
    <row r="20" spans="1:13">
      <c r="A20" s="57" t="s">
        <v>864</v>
      </c>
      <c r="B20" s="697" t="s">
        <v>105</v>
      </c>
      <c r="C20" s="428">
        <v>270000</v>
      </c>
      <c r="D20" s="857" t="s">
        <v>865</v>
      </c>
      <c r="E20" s="656">
        <v>90000</v>
      </c>
      <c r="F20" s="660"/>
      <c r="G20" s="681" t="s">
        <v>484</v>
      </c>
      <c r="H20" s="660" t="s">
        <v>455</v>
      </c>
      <c r="J20" s="660" t="s">
        <v>453</v>
      </c>
      <c r="K20" s="660" t="s">
        <v>454</v>
      </c>
      <c r="L20" s="616">
        <v>57000</v>
      </c>
    </row>
    <row r="21" spans="1:13" ht="17.25" customHeight="1">
      <c r="A21" s="57" t="s">
        <v>856</v>
      </c>
      <c r="B21" s="58" t="s">
        <v>105</v>
      </c>
      <c r="C21" s="428">
        <f>L13</f>
        <v>294000</v>
      </c>
      <c r="D21" s="857" t="s">
        <v>865</v>
      </c>
      <c r="E21" s="656">
        <v>95000</v>
      </c>
      <c r="F21" s="660" t="s">
        <v>453</v>
      </c>
      <c r="G21" s="660" t="s">
        <v>454</v>
      </c>
      <c r="H21" s="616">
        <v>300000</v>
      </c>
      <c r="I21" t="s">
        <v>9</v>
      </c>
      <c r="J21" s="486">
        <v>5000</v>
      </c>
      <c r="K21" s="1148">
        <v>5841</v>
      </c>
      <c r="L21" s="60" t="s">
        <v>9</v>
      </c>
    </row>
    <row r="22" spans="1:13">
      <c r="A22" s="57" t="s">
        <v>763</v>
      </c>
      <c r="B22" s="58" t="s">
        <v>798</v>
      </c>
      <c r="C22" s="428">
        <v>8016</v>
      </c>
      <c r="D22" s="17" t="s">
        <v>269</v>
      </c>
      <c r="E22" s="59">
        <v>20</v>
      </c>
      <c r="F22" s="486">
        <v>25000</v>
      </c>
      <c r="G22" s="1148">
        <v>50000</v>
      </c>
      <c r="H22" s="60" t="s">
        <v>9</v>
      </c>
      <c r="J22" s="60"/>
      <c r="K22" s="489">
        <f>K21/J21</f>
        <v>1.1681999999999999</v>
      </c>
      <c r="L22" s="60" t="s">
        <v>485</v>
      </c>
    </row>
    <row r="23" spans="1:13">
      <c r="A23" s="830" t="s">
        <v>1113</v>
      </c>
      <c r="B23" s="795" t="s">
        <v>1276</v>
      </c>
      <c r="C23" s="428">
        <f>G22</f>
        <v>50000</v>
      </c>
      <c r="D23" s="17" t="s">
        <v>269</v>
      </c>
      <c r="E23" s="59">
        <v>20</v>
      </c>
      <c r="F23" s="1236" t="s">
        <v>1275</v>
      </c>
      <c r="G23" s="487"/>
      <c r="H23" s="60"/>
      <c r="J23" s="60"/>
      <c r="K23" s="489"/>
      <c r="L23" s="60"/>
    </row>
    <row r="24" spans="1:13">
      <c r="A24" s="830" t="s">
        <v>1277</v>
      </c>
      <c r="B24" s="795" t="s">
        <v>1278</v>
      </c>
      <c r="C24" s="428">
        <v>1500</v>
      </c>
      <c r="D24" s="795" t="s">
        <v>1279</v>
      </c>
      <c r="E24" s="59"/>
      <c r="F24" s="1236"/>
      <c r="G24" s="487"/>
      <c r="H24" s="60"/>
      <c r="J24" s="60"/>
      <c r="K24" s="489"/>
      <c r="L24" s="60"/>
    </row>
    <row r="25" spans="1:13">
      <c r="A25" s="830" t="s">
        <v>1115</v>
      </c>
      <c r="B25" s="795" t="s">
        <v>884</v>
      </c>
      <c r="C25" s="428">
        <f>H38</f>
        <v>590920</v>
      </c>
      <c r="D25" s="17" t="s">
        <v>269</v>
      </c>
      <c r="E25" s="59"/>
      <c r="F25" s="60"/>
      <c r="G25" s="489">
        <f>G22/F22</f>
        <v>2</v>
      </c>
      <c r="H25" s="60" t="s">
        <v>485</v>
      </c>
      <c r="J25" s="60"/>
      <c r="K25" s="488">
        <f>K22*L20</f>
        <v>66587.399999999994</v>
      </c>
      <c r="L25" s="60" t="s">
        <v>74</v>
      </c>
    </row>
    <row r="26" spans="1:13">
      <c r="A26" s="830" t="s">
        <v>1167</v>
      </c>
      <c r="B26" s="58" t="s">
        <v>105</v>
      </c>
      <c r="C26" s="675">
        <f>H13</f>
        <v>1771980</v>
      </c>
      <c r="D26" s="17" t="s">
        <v>269</v>
      </c>
      <c r="E26" s="685">
        <v>20</v>
      </c>
      <c r="F26" s="60"/>
      <c r="G26" s="488">
        <f>G25*H21</f>
        <v>600000</v>
      </c>
      <c r="H26" s="60" t="s">
        <v>74</v>
      </c>
      <c r="J26" s="437"/>
    </row>
    <row r="27" spans="1:13">
      <c r="A27" s="57" t="s">
        <v>737</v>
      </c>
      <c r="B27" s="58" t="s">
        <v>105</v>
      </c>
      <c r="C27" s="428">
        <f>H5</f>
        <v>2893450</v>
      </c>
      <c r="D27" s="17" t="s">
        <v>269</v>
      </c>
      <c r="E27" s="685">
        <v>20</v>
      </c>
      <c r="F27" s="437"/>
    </row>
    <row r="28" spans="1:13">
      <c r="A28" s="872" t="s">
        <v>1116</v>
      </c>
      <c r="B28" s="655" t="s">
        <v>105</v>
      </c>
      <c r="C28" s="656">
        <f>K25</f>
        <v>66587.399999999994</v>
      </c>
      <c r="D28" s="17"/>
      <c r="E28" s="664"/>
      <c r="F28" s="665" t="s">
        <v>9</v>
      </c>
      <c r="G28" s="666"/>
      <c r="J28" s="660"/>
      <c r="K28" s="681" t="s">
        <v>486</v>
      </c>
      <c r="L28" s="660" t="s">
        <v>455</v>
      </c>
    </row>
    <row r="29" spans="1:13">
      <c r="A29" s="57" t="s">
        <v>800</v>
      </c>
      <c r="B29" s="58" t="s">
        <v>105</v>
      </c>
      <c r="C29" s="871">
        <v>3228</v>
      </c>
      <c r="D29" s="17"/>
      <c r="E29" s="59"/>
      <c r="J29" s="660" t="s">
        <v>453</v>
      </c>
      <c r="K29" s="660" t="s">
        <v>454</v>
      </c>
      <c r="L29" s="616">
        <v>200000</v>
      </c>
    </row>
    <row r="30" spans="1:13">
      <c r="A30" s="654" t="s">
        <v>759</v>
      </c>
      <c r="B30" s="655" t="s">
        <v>453</v>
      </c>
      <c r="C30" s="658">
        <v>110</v>
      </c>
      <c r="D30" s="655" t="s">
        <v>269</v>
      </c>
      <c r="E30" s="659">
        <v>120</v>
      </c>
      <c r="G30" s="490"/>
      <c r="J30" s="486">
        <v>1000</v>
      </c>
      <c r="K30" s="487">
        <v>120000</v>
      </c>
      <c r="L30" s="60" t="s">
        <v>9</v>
      </c>
      <c r="M30" s="491"/>
    </row>
    <row r="31" spans="1:13">
      <c r="A31" s="653" t="s">
        <v>738</v>
      </c>
      <c r="B31" s="496" t="s">
        <v>105</v>
      </c>
      <c r="C31" s="429">
        <v>90000</v>
      </c>
      <c r="D31" s="17" t="s">
        <v>9</v>
      </c>
      <c r="E31" s="59"/>
      <c r="F31" s="682" t="s">
        <v>636</v>
      </c>
      <c r="G31" s="683"/>
      <c r="H31" s="684"/>
      <c r="J31" s="60"/>
      <c r="K31" s="489">
        <f>K30/J30</f>
        <v>120</v>
      </c>
      <c r="L31" s="60" t="s">
        <v>485</v>
      </c>
      <c r="M31" s="491"/>
    </row>
    <row r="32" spans="1:13">
      <c r="A32" s="830" t="s">
        <v>1117</v>
      </c>
      <c r="B32" s="58" t="s">
        <v>105</v>
      </c>
      <c r="C32" s="428">
        <v>125800</v>
      </c>
      <c r="D32" s="17">
        <v>12508</v>
      </c>
      <c r="E32" s="59"/>
      <c r="J32" s="60"/>
      <c r="K32" s="488">
        <f>K31*L29</f>
        <v>24000000</v>
      </c>
      <c r="L32" s="60" t="s">
        <v>74</v>
      </c>
      <c r="M32" s="491"/>
    </row>
    <row r="33" spans="1:13">
      <c r="A33" s="654" t="s">
        <v>739</v>
      </c>
      <c r="B33" s="655" t="s">
        <v>105</v>
      </c>
      <c r="C33" s="656" t="s">
        <v>854</v>
      </c>
      <c r="D33" s="17"/>
      <c r="E33" s="59"/>
      <c r="G33" s="660"/>
      <c r="H33" s="681" t="s">
        <v>650</v>
      </c>
      <c r="I33" s="660" t="s">
        <v>455</v>
      </c>
      <c r="J33" s="60"/>
      <c r="K33" s="687"/>
      <c r="L33" s="688"/>
      <c r="M33" s="491"/>
    </row>
    <row r="34" spans="1:13">
      <c r="A34" s="57" t="s">
        <v>740</v>
      </c>
      <c r="B34" s="58" t="s">
        <v>105</v>
      </c>
      <c r="C34" s="428">
        <f>(4920/50)*1000</f>
        <v>98400</v>
      </c>
      <c r="D34" s="17" t="s">
        <v>269</v>
      </c>
      <c r="E34" s="400">
        <v>15</v>
      </c>
      <c r="G34" s="660" t="s">
        <v>453</v>
      </c>
      <c r="H34" s="660" t="s">
        <v>454</v>
      </c>
      <c r="I34" s="616">
        <v>1000000</v>
      </c>
      <c r="J34" s="437"/>
      <c r="M34" s="491"/>
    </row>
    <row r="35" spans="1:13">
      <c r="A35" s="57" t="s">
        <v>741</v>
      </c>
      <c r="B35" s="58" t="s">
        <v>105</v>
      </c>
      <c r="C35" s="428">
        <f>(1980/25)*1000</f>
        <v>79200</v>
      </c>
      <c r="D35" s="17" t="s">
        <v>269</v>
      </c>
      <c r="E35" s="400">
        <v>15</v>
      </c>
      <c r="G35" s="486">
        <v>25000</v>
      </c>
      <c r="H35" s="487">
        <v>14773</v>
      </c>
      <c r="I35" s="60" t="s">
        <v>9</v>
      </c>
      <c r="J35" s="686"/>
      <c r="M35" s="491"/>
    </row>
    <row r="36" spans="1:13">
      <c r="A36" s="57" t="s">
        <v>742</v>
      </c>
      <c r="B36" s="58" t="s">
        <v>105</v>
      </c>
      <c r="C36" s="428">
        <v>60000</v>
      </c>
      <c r="D36" s="17" t="s">
        <v>269</v>
      </c>
      <c r="E36" s="59">
        <v>15</v>
      </c>
      <c r="G36" s="486" t="s">
        <v>1114</v>
      </c>
      <c r="H36" s="487"/>
      <c r="I36" s="60"/>
    </row>
    <row r="37" spans="1:13">
      <c r="A37" s="653" t="s">
        <v>743</v>
      </c>
      <c r="B37" s="496" t="s">
        <v>105</v>
      </c>
      <c r="C37" s="429" t="s">
        <v>854</v>
      </c>
      <c r="D37" s="496" t="s">
        <v>269</v>
      </c>
      <c r="E37" s="693">
        <v>80</v>
      </c>
      <c r="G37" s="60"/>
      <c r="H37" s="489">
        <f>H35/G35</f>
        <v>0.59092</v>
      </c>
      <c r="I37" s="60" t="s">
        <v>485</v>
      </c>
      <c r="J37" s="660"/>
      <c r="K37" s="660" t="s">
        <v>535</v>
      </c>
      <c r="L37" s="660" t="s">
        <v>455</v>
      </c>
    </row>
    <row r="38" spans="1:13">
      <c r="A38" s="661" t="s">
        <v>744</v>
      </c>
      <c r="B38" s="662" t="s">
        <v>105</v>
      </c>
      <c r="C38" s="663">
        <f>K41</f>
        <v>2850000</v>
      </c>
      <c r="D38" s="17" t="s">
        <v>269</v>
      </c>
      <c r="E38" s="59">
        <v>80</v>
      </c>
      <c r="G38" s="60"/>
      <c r="H38" s="488">
        <f>H37*I34</f>
        <v>590920</v>
      </c>
      <c r="I38" s="60" t="s">
        <v>74</v>
      </c>
      <c r="J38" s="660" t="s">
        <v>453</v>
      </c>
      <c r="K38" s="660" t="s">
        <v>454</v>
      </c>
      <c r="L38" s="616">
        <v>150000</v>
      </c>
    </row>
    <row r="39" spans="1:13">
      <c r="A39" s="830" t="s">
        <v>1188</v>
      </c>
      <c r="B39" s="58" t="s">
        <v>105</v>
      </c>
      <c r="C39" s="903">
        <v>4095</v>
      </c>
      <c r="D39" s="17"/>
      <c r="E39" s="59"/>
      <c r="F39" t="s">
        <v>9</v>
      </c>
      <c r="H39" s="797">
        <f>H38/2.2</f>
        <v>268600</v>
      </c>
      <c r="I39" s="615" t="s">
        <v>761</v>
      </c>
      <c r="J39" s="486">
        <v>5000</v>
      </c>
      <c r="K39" s="487">
        <v>95000</v>
      </c>
      <c r="L39" s="60" t="s">
        <v>9</v>
      </c>
    </row>
    <row r="40" spans="1:13">
      <c r="A40" s="653" t="s">
        <v>745</v>
      </c>
      <c r="B40" s="496" t="s">
        <v>464</v>
      </c>
      <c r="C40" s="429">
        <v>12000</v>
      </c>
      <c r="D40" s="17"/>
      <c r="E40" s="59"/>
      <c r="F40" t="s">
        <v>637</v>
      </c>
      <c r="J40" s="60"/>
      <c r="K40" s="489">
        <f>K39/J39</f>
        <v>19</v>
      </c>
      <c r="L40" s="60" t="s">
        <v>485</v>
      </c>
    </row>
    <row r="41" spans="1:13">
      <c r="A41" s="654" t="s">
        <v>746</v>
      </c>
      <c r="B41" s="655" t="s">
        <v>105</v>
      </c>
      <c r="C41" s="656">
        <v>850</v>
      </c>
      <c r="D41" s="17"/>
      <c r="E41" s="59"/>
      <c r="F41" t="s">
        <v>638</v>
      </c>
      <c r="J41" s="60"/>
      <c r="K41" s="488">
        <f>K40*L38</f>
        <v>2850000</v>
      </c>
      <c r="L41" s="60" t="s">
        <v>74</v>
      </c>
    </row>
    <row r="42" spans="1:13">
      <c r="A42" s="654" t="s">
        <v>734</v>
      </c>
      <c r="B42" s="655" t="s">
        <v>105</v>
      </c>
      <c r="C42" s="656">
        <v>1625</v>
      </c>
      <c r="D42" s="17"/>
      <c r="E42" s="59"/>
      <c r="J42" s="437"/>
    </row>
    <row r="43" spans="1:13">
      <c r="A43" s="654" t="s">
        <v>747</v>
      </c>
      <c r="B43" s="655" t="s">
        <v>105</v>
      </c>
      <c r="C43" s="656">
        <v>64100</v>
      </c>
      <c r="D43" s="17"/>
      <c r="E43" s="59"/>
      <c r="J43" s="686"/>
    </row>
    <row r="44" spans="1:13">
      <c r="A44" s="654"/>
      <c r="B44" s="655"/>
      <c r="C44" s="656"/>
      <c r="D44" s="17"/>
      <c r="E44" s="59"/>
      <c r="J44" s="686"/>
    </row>
    <row r="45" spans="1:13">
      <c r="A45" s="749" t="s">
        <v>705</v>
      </c>
      <c r="B45" s="655"/>
      <c r="C45" s="656"/>
      <c r="D45" s="17"/>
      <c r="E45" s="59"/>
      <c r="G45" s="1146">
        <v>1500</v>
      </c>
      <c r="J45" s="686"/>
    </row>
    <row r="46" spans="1:13">
      <c r="A46" s="654" t="s">
        <v>532</v>
      </c>
      <c r="B46" s="655" t="s">
        <v>105</v>
      </c>
      <c r="C46" s="656">
        <v>1600</v>
      </c>
      <c r="D46" s="17"/>
      <c r="E46" s="59"/>
      <c r="G46" s="1146">
        <v>250</v>
      </c>
    </row>
    <row r="47" spans="1:13">
      <c r="A47" s="57" t="s">
        <v>533</v>
      </c>
      <c r="B47" s="58" t="s">
        <v>271</v>
      </c>
      <c r="C47" s="58">
        <v>150</v>
      </c>
      <c r="D47" s="17"/>
      <c r="E47" s="59"/>
      <c r="G47" s="1147">
        <f>G45/G46</f>
        <v>6</v>
      </c>
    </row>
    <row r="48" spans="1:13">
      <c r="A48" s="57" t="s">
        <v>748</v>
      </c>
      <c r="B48" s="58" t="s">
        <v>271</v>
      </c>
      <c r="C48" s="58">
        <v>150</v>
      </c>
      <c r="D48" s="17"/>
      <c r="E48" s="59"/>
    </row>
    <row r="49" spans="1:9" ht="13.5" thickBot="1">
      <c r="A49" s="57" t="s">
        <v>703</v>
      </c>
      <c r="B49" s="58" t="s">
        <v>271</v>
      </c>
      <c r="C49" s="58">
        <v>12000</v>
      </c>
      <c r="D49" s="17"/>
      <c r="E49" s="59"/>
    </row>
    <row r="50" spans="1:9" ht="13.5" thickBot="1">
      <c r="A50" s="653" t="s">
        <v>465</v>
      </c>
      <c r="B50" s="496" t="s">
        <v>105</v>
      </c>
      <c r="C50" s="496">
        <v>1400</v>
      </c>
      <c r="D50" s="17"/>
      <c r="E50" s="59"/>
      <c r="G50" s="1218" t="s">
        <v>1258</v>
      </c>
      <c r="H50" s="1219"/>
      <c r="I50" s="1220"/>
    </row>
    <row r="51" spans="1:9">
      <c r="A51" s="653" t="s">
        <v>706</v>
      </c>
      <c r="B51" s="496" t="s">
        <v>105</v>
      </c>
      <c r="C51" s="496">
        <v>1200</v>
      </c>
      <c r="D51" s="17"/>
      <c r="E51" s="59"/>
    </row>
    <row r="52" spans="1:9">
      <c r="A52" s="653" t="s">
        <v>707</v>
      </c>
      <c r="B52" s="496" t="s">
        <v>105</v>
      </c>
      <c r="C52" s="496">
        <v>1600</v>
      </c>
      <c r="D52" s="17"/>
      <c r="E52" s="59"/>
    </row>
    <row r="53" spans="1:9">
      <c r="A53" s="653" t="s">
        <v>466</v>
      </c>
      <c r="B53" s="496" t="s">
        <v>105</v>
      </c>
      <c r="C53" s="496">
        <v>3000</v>
      </c>
      <c r="D53" s="17"/>
      <c r="E53" s="59"/>
    </row>
    <row r="54" spans="1:9">
      <c r="A54" s="653" t="s">
        <v>708</v>
      </c>
      <c r="B54" s="496" t="s">
        <v>105</v>
      </c>
      <c r="C54" s="496">
        <v>1841</v>
      </c>
      <c r="D54" s="17"/>
      <c r="E54" s="59"/>
    </row>
    <row r="55" spans="1:9">
      <c r="A55" s="653" t="s">
        <v>709</v>
      </c>
      <c r="B55" s="496" t="s">
        <v>105</v>
      </c>
      <c r="C55" s="496">
        <v>1900</v>
      </c>
      <c r="D55" s="17"/>
      <c r="E55" s="59"/>
    </row>
    <row r="56" spans="1:9">
      <c r="A56" s="653" t="s">
        <v>467</v>
      </c>
      <c r="B56" s="496" t="s">
        <v>225</v>
      </c>
      <c r="C56" s="496">
        <v>600</v>
      </c>
      <c r="D56" s="17"/>
      <c r="E56" s="59"/>
    </row>
    <row r="57" spans="1:9">
      <c r="A57" s="653" t="s">
        <v>468</v>
      </c>
      <c r="B57" s="496" t="s">
        <v>225</v>
      </c>
      <c r="C57" s="496">
        <v>800</v>
      </c>
      <c r="D57" s="17"/>
      <c r="E57" s="59"/>
    </row>
    <row r="58" spans="1:9">
      <c r="A58" s="654" t="s">
        <v>528</v>
      </c>
      <c r="B58" s="655" t="s">
        <v>225</v>
      </c>
      <c r="C58" s="434">
        <v>3750</v>
      </c>
      <c r="D58" s="17"/>
      <c r="E58" s="59"/>
    </row>
    <row r="59" spans="1:9">
      <c r="A59" s="654" t="s">
        <v>776</v>
      </c>
      <c r="B59" s="655" t="s">
        <v>225</v>
      </c>
      <c r="C59" s="655">
        <v>6000</v>
      </c>
      <c r="D59" s="17"/>
      <c r="E59" s="59"/>
    </row>
    <row r="60" spans="1:9">
      <c r="A60" s="654" t="s">
        <v>529</v>
      </c>
      <c r="B60" s="655" t="s">
        <v>530</v>
      </c>
      <c r="C60" s="655">
        <v>250</v>
      </c>
      <c r="D60" s="17"/>
      <c r="E60" s="59"/>
    </row>
    <row r="61" spans="1:9">
      <c r="A61" s="654" t="s">
        <v>531</v>
      </c>
      <c r="B61" s="655" t="s">
        <v>105</v>
      </c>
      <c r="C61" s="655">
        <v>1791</v>
      </c>
      <c r="D61" s="17"/>
      <c r="E61" s="59"/>
    </row>
    <row r="62" spans="1:9">
      <c r="A62" s="689"/>
      <c r="B62" s="690"/>
      <c r="C62" s="690"/>
      <c r="D62" s="692"/>
      <c r="E62" s="691"/>
    </row>
    <row r="63" spans="1:9">
      <c r="A63" s="62" t="s">
        <v>801</v>
      </c>
      <c r="B63" s="58"/>
      <c r="C63" s="58"/>
      <c r="D63" s="17"/>
      <c r="E63" s="59"/>
    </row>
    <row r="64" spans="1:9">
      <c r="A64" s="60" t="s">
        <v>103</v>
      </c>
      <c r="B64" s="60" t="s">
        <v>11</v>
      </c>
      <c r="C64" s="60" t="s">
        <v>194</v>
      </c>
      <c r="D64" s="56" t="s">
        <v>11</v>
      </c>
      <c r="E64" s="56" t="s">
        <v>194</v>
      </c>
      <c r="F64" s="485"/>
    </row>
    <row r="65" spans="1:9">
      <c r="A65" s="830" t="s">
        <v>1224</v>
      </c>
      <c r="B65" s="496" t="s">
        <v>104</v>
      </c>
      <c r="C65" s="944">
        <v>17504.7</v>
      </c>
      <c r="D65" s="17" t="s">
        <v>105</v>
      </c>
      <c r="E65" s="59">
        <f>C65/45</f>
        <v>388.99333333333334</v>
      </c>
      <c r="F65" s="55"/>
    </row>
    <row r="66" spans="1:9">
      <c r="A66" s="62" t="s">
        <v>803</v>
      </c>
      <c r="B66" s="897" t="s">
        <v>104</v>
      </c>
      <c r="C66" s="1150">
        <v>22267.439999999999</v>
      </c>
      <c r="D66" s="17" t="s">
        <v>105</v>
      </c>
      <c r="E66" s="59">
        <f>+C66/45</f>
        <v>494.83199999999999</v>
      </c>
      <c r="F66" s="55"/>
      <c r="I66" s="875" t="s">
        <v>9</v>
      </c>
    </row>
    <row r="67" spans="1:9">
      <c r="A67" s="1146" t="s">
        <v>1223</v>
      </c>
      <c r="B67" s="434" t="s">
        <v>104</v>
      </c>
      <c r="C67" s="898">
        <v>21884</v>
      </c>
      <c r="D67" s="17" t="s">
        <v>105</v>
      </c>
      <c r="E67" s="59">
        <f>+C67/45</f>
        <v>486.31111111111113</v>
      </c>
      <c r="F67" s="55"/>
    </row>
    <row r="68" spans="1:9">
      <c r="A68" s="830" t="s">
        <v>1226</v>
      </c>
      <c r="B68" s="58" t="s">
        <v>104</v>
      </c>
      <c r="C68" s="898">
        <v>15420</v>
      </c>
      <c r="D68" s="17" t="s">
        <v>105</v>
      </c>
      <c r="E68" s="59">
        <f>+C68/45</f>
        <v>342.66666666666669</v>
      </c>
      <c r="F68" s="55"/>
    </row>
    <row r="69" spans="1:9">
      <c r="A69" s="830" t="s">
        <v>1119</v>
      </c>
      <c r="B69" s="58" t="s">
        <v>505</v>
      </c>
      <c r="C69" s="898">
        <v>15420</v>
      </c>
      <c r="D69" s="17" t="s">
        <v>105</v>
      </c>
      <c r="E69" s="59">
        <f>+C69/45</f>
        <v>342.66666666666669</v>
      </c>
      <c r="F69" s="55"/>
    </row>
    <row r="70" spans="1:9">
      <c r="A70" s="8" t="s">
        <v>1227</v>
      </c>
      <c r="B70" s="58" t="s">
        <v>104</v>
      </c>
      <c r="C70" s="900">
        <v>13247.4</v>
      </c>
      <c r="D70" s="17" t="s">
        <v>105</v>
      </c>
      <c r="E70" s="59">
        <f>+C70/50</f>
        <v>264.94799999999998</v>
      </c>
      <c r="F70" s="55"/>
    </row>
    <row r="71" spans="1:9">
      <c r="A71" s="8" t="s">
        <v>1227</v>
      </c>
      <c r="B71" s="58" t="s">
        <v>104</v>
      </c>
      <c r="C71" s="900">
        <v>13247.4</v>
      </c>
      <c r="D71" s="17" t="s">
        <v>105</v>
      </c>
      <c r="E71" s="59">
        <f>+C71/46</f>
        <v>287.9869565217391</v>
      </c>
      <c r="F71" s="55"/>
    </row>
    <row r="72" spans="1:9">
      <c r="A72" s="62" t="s">
        <v>829</v>
      </c>
      <c r="B72" s="58" t="s">
        <v>104</v>
      </c>
      <c r="C72" s="434">
        <v>16000</v>
      </c>
      <c r="D72" s="17" t="s">
        <v>105</v>
      </c>
      <c r="E72" s="59">
        <f>+C72/45</f>
        <v>355.55555555555554</v>
      </c>
      <c r="F72" s="55"/>
    </row>
    <row r="73" spans="1:9">
      <c r="A73" s="62" t="s">
        <v>804</v>
      </c>
      <c r="B73" s="58" t="s">
        <v>104</v>
      </c>
      <c r="C73" s="1057">
        <v>18127.41</v>
      </c>
      <c r="D73" s="17" t="s">
        <v>105</v>
      </c>
      <c r="E73" s="59">
        <f>+C73/45</f>
        <v>402.8313333333333</v>
      </c>
      <c r="F73" s="55"/>
    </row>
    <row r="74" spans="1:9">
      <c r="A74" s="1184" t="s">
        <v>1120</v>
      </c>
      <c r="B74" s="1177" t="s">
        <v>104</v>
      </c>
      <c r="C74" s="1189">
        <v>22000</v>
      </c>
      <c r="D74" s="1179" t="s">
        <v>105</v>
      </c>
      <c r="E74" s="1188">
        <v>673</v>
      </c>
      <c r="F74" s="55"/>
    </row>
    <row r="75" spans="1:9">
      <c r="A75" s="8" t="s">
        <v>1052</v>
      </c>
      <c r="B75" s="795" t="s">
        <v>104</v>
      </c>
      <c r="C75" s="943">
        <v>22000</v>
      </c>
      <c r="D75" s="17" t="s">
        <v>105</v>
      </c>
      <c r="E75" s="59">
        <v>673</v>
      </c>
      <c r="F75" s="55"/>
    </row>
    <row r="76" spans="1:9">
      <c r="A76" s="8" t="s">
        <v>687</v>
      </c>
      <c r="B76" s="58" t="s">
        <v>456</v>
      </c>
      <c r="C76" s="17">
        <v>7300</v>
      </c>
      <c r="D76" s="17" t="s">
        <v>105</v>
      </c>
      <c r="E76" s="59">
        <f>+C76/50</f>
        <v>146</v>
      </c>
      <c r="F76" s="55"/>
    </row>
    <row r="77" spans="1:9">
      <c r="A77" s="1146" t="s">
        <v>1225</v>
      </c>
      <c r="B77" s="58" t="s">
        <v>104</v>
      </c>
      <c r="C77" s="883">
        <v>14359</v>
      </c>
      <c r="D77" s="17" t="s">
        <v>105</v>
      </c>
      <c r="E77" s="59">
        <f>+C77/45</f>
        <v>319.0888888888889</v>
      </c>
      <c r="F77" s="55"/>
      <c r="G77">
        <f>700*45</f>
        <v>31500</v>
      </c>
    </row>
    <row r="78" spans="1:9">
      <c r="A78" s="57" t="s">
        <v>802</v>
      </c>
      <c r="B78" s="58" t="s">
        <v>104</v>
      </c>
      <c r="C78" s="900">
        <v>19200</v>
      </c>
      <c r="D78" s="17" t="s">
        <v>105</v>
      </c>
      <c r="E78" s="59">
        <f>+C78/45</f>
        <v>426.66666666666669</v>
      </c>
      <c r="F78" s="55"/>
    </row>
    <row r="79" spans="1:9">
      <c r="A79" s="62" t="s">
        <v>1143</v>
      </c>
      <c r="B79" s="58" t="s">
        <v>104</v>
      </c>
      <c r="C79" s="883">
        <f>C67</f>
        <v>21884</v>
      </c>
      <c r="D79" s="17" t="s">
        <v>105</v>
      </c>
      <c r="E79" s="59">
        <f>+C79/45</f>
        <v>486.31111111111113</v>
      </c>
      <c r="F79" s="55"/>
    </row>
    <row r="80" spans="1:9">
      <c r="A80" s="1186" t="s">
        <v>686</v>
      </c>
      <c r="B80" s="1177" t="s">
        <v>104</v>
      </c>
      <c r="C80" s="1187">
        <v>19920</v>
      </c>
      <c r="D80" s="1179" t="s">
        <v>105</v>
      </c>
      <c r="E80" s="1188">
        <f>+C80/45</f>
        <v>442.66666666666669</v>
      </c>
      <c r="F80" s="55"/>
    </row>
    <row r="81" spans="1:8">
      <c r="A81" s="62" t="s">
        <v>890</v>
      </c>
      <c r="B81" s="58" t="s">
        <v>104</v>
      </c>
      <c r="C81" s="883">
        <v>17275</v>
      </c>
      <c r="D81" s="17" t="s">
        <v>105</v>
      </c>
      <c r="E81" s="59">
        <f>+C81/45</f>
        <v>383.88888888888891</v>
      </c>
      <c r="F81" s="55"/>
    </row>
    <row r="82" spans="1:8">
      <c r="A82" s="8" t="s">
        <v>487</v>
      </c>
      <c r="B82" s="58" t="s">
        <v>104</v>
      </c>
      <c r="C82" s="17">
        <v>6600</v>
      </c>
      <c r="D82" s="17" t="s">
        <v>105</v>
      </c>
      <c r="E82" s="59">
        <f>+C82/46</f>
        <v>143.47826086956522</v>
      </c>
      <c r="F82" s="55"/>
    </row>
    <row r="83" spans="1:8">
      <c r="A83" s="875" t="s">
        <v>1144</v>
      </c>
      <c r="B83" s="58" t="s">
        <v>104</v>
      </c>
      <c r="C83" s="889">
        <v>18266</v>
      </c>
      <c r="D83" s="17" t="s">
        <v>105</v>
      </c>
      <c r="E83" s="59">
        <f>+C83/45</f>
        <v>405.9111111111111</v>
      </c>
      <c r="F83" s="55"/>
    </row>
    <row r="84" spans="1:8">
      <c r="A84" s="850" t="s">
        <v>1190</v>
      </c>
      <c r="B84" s="1013" t="s">
        <v>1146</v>
      </c>
      <c r="C84" s="908">
        <v>4825</v>
      </c>
      <c r="D84" s="852" t="s">
        <v>105</v>
      </c>
      <c r="E84" s="853">
        <f>+C84/23</f>
        <v>209.78260869565219</v>
      </c>
      <c r="F84" s="55"/>
    </row>
    <row r="85" spans="1:8">
      <c r="A85" s="1066" t="s">
        <v>1189</v>
      </c>
      <c r="B85" s="1067" t="s">
        <v>1145</v>
      </c>
      <c r="C85" s="1017">
        <v>6868</v>
      </c>
      <c r="D85" s="873" t="s">
        <v>105</v>
      </c>
      <c r="E85" s="1068">
        <f>C85/23</f>
        <v>298.60869565217394</v>
      </c>
      <c r="F85" s="55"/>
    </row>
    <row r="86" spans="1:8">
      <c r="A86" s="850" t="s">
        <v>1228</v>
      </c>
      <c r="B86" s="851" t="s">
        <v>456</v>
      </c>
      <c r="C86" s="1057">
        <v>8621.5499999999993</v>
      </c>
      <c r="D86" s="852" t="s">
        <v>105</v>
      </c>
      <c r="E86" s="853">
        <f>+C86/50</f>
        <v>172.43099999999998</v>
      </c>
      <c r="F86" s="55"/>
    </row>
    <row r="87" spans="1:8">
      <c r="A87" s="1221" t="s">
        <v>1305</v>
      </c>
      <c r="B87" s="1223" t="s">
        <v>1306</v>
      </c>
      <c r="C87" s="1222">
        <v>2469</v>
      </c>
      <c r="D87" s="1224" t="s">
        <v>105</v>
      </c>
      <c r="E87" s="1225">
        <f>C87/4</f>
        <v>617.25</v>
      </c>
      <c r="F87" s="55"/>
    </row>
    <row r="88" spans="1:8">
      <c r="A88" s="8" t="s">
        <v>457</v>
      </c>
      <c r="B88" s="58" t="s">
        <v>458</v>
      </c>
      <c r="C88" s="795">
        <v>5000</v>
      </c>
      <c r="D88" s="17" t="s">
        <v>105</v>
      </c>
      <c r="E88" s="59">
        <f>+C88/40</f>
        <v>125</v>
      </c>
      <c r="F88" s="55"/>
    </row>
    <row r="89" spans="1:8">
      <c r="A89" s="1058" t="s">
        <v>109</v>
      </c>
      <c r="B89" s="1059" t="s">
        <v>104</v>
      </c>
      <c r="C89" s="1059">
        <v>4500</v>
      </c>
      <c r="D89" s="1060" t="s">
        <v>105</v>
      </c>
      <c r="E89" s="1061">
        <v>300</v>
      </c>
      <c r="F89" s="55"/>
    </row>
    <row r="90" spans="1:8">
      <c r="A90" s="1062" t="s">
        <v>805</v>
      </c>
      <c r="B90" s="1059" t="s">
        <v>505</v>
      </c>
      <c r="C90" s="1063">
        <v>14965</v>
      </c>
      <c r="D90" s="1064" t="s">
        <v>105</v>
      </c>
      <c r="E90" s="1065">
        <f>+C90/45</f>
        <v>332.55555555555554</v>
      </c>
      <c r="F90" s="55"/>
    </row>
    <row r="91" spans="1:8">
      <c r="A91" s="62" t="s">
        <v>835</v>
      </c>
      <c r="B91" s="434" t="s">
        <v>755</v>
      </c>
      <c r="C91" s="434">
        <v>15025</v>
      </c>
      <c r="D91" s="434" t="s">
        <v>105</v>
      </c>
      <c r="E91" s="849">
        <v>2006</v>
      </c>
      <c r="F91" s="55"/>
    </row>
    <row r="92" spans="1:8">
      <c r="A92" s="57" t="s">
        <v>459</v>
      </c>
      <c r="B92" s="58" t="s">
        <v>106</v>
      </c>
      <c r="C92" s="795">
        <v>6200</v>
      </c>
      <c r="D92" s="17" t="s">
        <v>107</v>
      </c>
      <c r="E92" s="59">
        <v>513</v>
      </c>
      <c r="F92" s="55"/>
      <c r="H92">
        <f>1046/1.5</f>
        <v>697.33333333333337</v>
      </c>
    </row>
    <row r="93" spans="1:8">
      <c r="A93" s="57" t="s">
        <v>108</v>
      </c>
      <c r="B93" s="795" t="s">
        <v>884</v>
      </c>
      <c r="C93" s="58">
        <v>1652</v>
      </c>
      <c r="D93" s="17" t="s">
        <v>105</v>
      </c>
      <c r="E93" s="849">
        <v>1652</v>
      </c>
      <c r="F93" s="55"/>
    </row>
    <row r="94" spans="1:8">
      <c r="A94" s="57" t="s">
        <v>108</v>
      </c>
      <c r="B94" s="57"/>
      <c r="C94" s="57"/>
      <c r="D94" s="17" t="s">
        <v>105</v>
      </c>
      <c r="E94" s="849">
        <v>1652</v>
      </c>
      <c r="F94" s="55"/>
    </row>
    <row r="95" spans="1:8">
      <c r="A95" s="62" t="s">
        <v>793</v>
      </c>
      <c r="B95" s="1152" t="s">
        <v>831</v>
      </c>
      <c r="C95" s="1152">
        <v>29088</v>
      </c>
      <c r="D95" s="434" t="s">
        <v>105</v>
      </c>
      <c r="E95" s="849">
        <v>1982</v>
      </c>
      <c r="F95" s="55"/>
    </row>
    <row r="96" spans="1:8">
      <c r="A96" s="62" t="s">
        <v>488</v>
      </c>
      <c r="B96" s="434" t="s">
        <v>104</v>
      </c>
      <c r="C96" s="898">
        <v>14966</v>
      </c>
      <c r="D96" s="17" t="s">
        <v>105</v>
      </c>
      <c r="E96" s="59">
        <f>+C96/45</f>
        <v>332.57777777777778</v>
      </c>
      <c r="F96" s="55"/>
    </row>
    <row r="97" spans="1:6">
      <c r="A97" t="s">
        <v>685</v>
      </c>
      <c r="B97" s="861" t="s">
        <v>461</v>
      </c>
      <c r="C97" s="861">
        <v>24958</v>
      </c>
      <c r="D97" s="890" t="s">
        <v>105</v>
      </c>
      <c r="E97" s="891">
        <f>+C97/25</f>
        <v>998.32</v>
      </c>
      <c r="F97" s="55"/>
    </row>
    <row r="98" spans="1:6">
      <c r="A98" s="57" t="s">
        <v>110</v>
      </c>
      <c r="B98" s="58" t="s">
        <v>104</v>
      </c>
      <c r="C98" s="434">
        <v>22000</v>
      </c>
      <c r="D98" s="17" t="s">
        <v>105</v>
      </c>
      <c r="E98" s="59">
        <f>+C98/45</f>
        <v>488.88888888888891</v>
      </c>
      <c r="F98" s="55"/>
    </row>
    <row r="99" spans="1:6">
      <c r="A99" s="57" t="s">
        <v>688</v>
      </c>
      <c r="B99" s="58" t="s">
        <v>104</v>
      </c>
      <c r="C99" s="58">
        <v>22000</v>
      </c>
      <c r="D99" s="17" t="s">
        <v>105</v>
      </c>
      <c r="E99" s="59">
        <f>+C99/45</f>
        <v>488.88888888888891</v>
      </c>
      <c r="F99" s="55"/>
    </row>
    <row r="100" spans="1:6">
      <c r="A100" s="57" t="s">
        <v>689</v>
      </c>
      <c r="B100" s="58" t="s">
        <v>104</v>
      </c>
      <c r="C100" s="849">
        <f>C70</f>
        <v>13247.4</v>
      </c>
      <c r="D100" s="17" t="s">
        <v>105</v>
      </c>
      <c r="E100" s="59">
        <f>+C100/45</f>
        <v>294.38666666666666</v>
      </c>
      <c r="F100" s="55"/>
    </row>
    <row r="101" spans="1:6">
      <c r="A101" s="8" t="s">
        <v>1142</v>
      </c>
      <c r="B101" s="58" t="s">
        <v>104</v>
      </c>
      <c r="C101" s="750">
        <v>15000</v>
      </c>
      <c r="D101" s="883" t="s">
        <v>105</v>
      </c>
      <c r="E101" s="905">
        <f>C101/45</f>
        <v>333.33333333333331</v>
      </c>
      <c r="F101" s="55">
        <v>948</v>
      </c>
    </row>
    <row r="102" spans="1:6">
      <c r="A102" s="830" t="s">
        <v>1073</v>
      </c>
      <c r="B102" s="795" t="s">
        <v>104</v>
      </c>
      <c r="C102" s="1069">
        <v>17317</v>
      </c>
      <c r="D102" s="434" t="s">
        <v>105</v>
      </c>
      <c r="E102" s="1153">
        <f>C102/45</f>
        <v>384.82222222222219</v>
      </c>
      <c r="F102" s="55"/>
    </row>
    <row r="103" spans="1:6">
      <c r="A103" s="57"/>
      <c r="B103" s="8"/>
      <c r="C103" s="8"/>
      <c r="D103" s="17"/>
      <c r="E103" s="61"/>
    </row>
    <row r="104" spans="1:6">
      <c r="A104" s="60" t="s">
        <v>111</v>
      </c>
      <c r="B104" s="60" t="s">
        <v>11</v>
      </c>
      <c r="C104" s="60" t="s">
        <v>194</v>
      </c>
      <c r="D104" s="56" t="s">
        <v>11</v>
      </c>
      <c r="E104" s="56" t="s">
        <v>194</v>
      </c>
      <c r="F104" s="430"/>
    </row>
    <row r="105" spans="1:6">
      <c r="A105" s="62" t="s">
        <v>1097</v>
      </c>
      <c r="B105" s="62" t="s">
        <v>105</v>
      </c>
      <c r="C105" s="62">
        <v>3500</v>
      </c>
      <c r="D105" s="434" t="s">
        <v>107</v>
      </c>
      <c r="E105" s="883">
        <v>4339</v>
      </c>
      <c r="F105" s="888"/>
    </row>
    <row r="106" spans="1:6">
      <c r="A106" s="611" t="s">
        <v>834</v>
      </c>
      <c r="B106" s="8"/>
      <c r="C106" s="8"/>
      <c r="D106" s="826" t="s">
        <v>38</v>
      </c>
      <c r="E106" s="826">
        <v>5617</v>
      </c>
      <c r="F106" s="892"/>
    </row>
    <row r="107" spans="1:6">
      <c r="A107" s="62" t="s">
        <v>855</v>
      </c>
      <c r="B107" s="62" t="s">
        <v>497</v>
      </c>
      <c r="C107" s="62">
        <v>5531</v>
      </c>
      <c r="D107" s="58" t="s">
        <v>107</v>
      </c>
      <c r="E107" s="17">
        <f>C107*3.7</f>
        <v>20464.7</v>
      </c>
      <c r="F107" s="608" t="s">
        <v>756</v>
      </c>
    </row>
    <row r="108" spans="1:6">
      <c r="A108" s="1070" t="s">
        <v>1002</v>
      </c>
      <c r="B108" s="1071" t="s">
        <v>497</v>
      </c>
      <c r="C108" s="1072">
        <f>E108/4</f>
        <v>3561.25</v>
      </c>
      <c r="D108" s="1073" t="s">
        <v>38</v>
      </c>
      <c r="E108" s="1074">
        <v>14245</v>
      </c>
      <c r="F108" s="915" t="s">
        <v>1003</v>
      </c>
    </row>
    <row r="109" spans="1:6">
      <c r="A109" s="954" t="s">
        <v>1307</v>
      </c>
      <c r="B109" s="950" t="s">
        <v>497</v>
      </c>
      <c r="C109" s="893">
        <f>E109/4</f>
        <v>752.75</v>
      </c>
      <c r="D109" s="894" t="s">
        <v>107</v>
      </c>
      <c r="E109" s="894">
        <v>3011</v>
      </c>
      <c r="F109" s="875" t="s">
        <v>1096</v>
      </c>
    </row>
    <row r="110" spans="1:6">
      <c r="A110" s="8" t="s">
        <v>347</v>
      </c>
      <c r="B110" s="8"/>
      <c r="C110" s="8"/>
      <c r="D110" s="58" t="s">
        <v>38</v>
      </c>
      <c r="E110" s="434">
        <v>5000</v>
      </c>
    </row>
    <row r="111" spans="1:6">
      <c r="A111" s="1135" t="s">
        <v>155</v>
      </c>
      <c r="B111" s="1136" t="s">
        <v>519</v>
      </c>
      <c r="C111" s="1137">
        <v>3080</v>
      </c>
      <c r="D111" s="1138" t="s">
        <v>105</v>
      </c>
      <c r="E111" s="1139">
        <f>C111*5</f>
        <v>15400</v>
      </c>
      <c r="F111" s="1140" t="s">
        <v>1221</v>
      </c>
    </row>
    <row r="112" spans="1:6">
      <c r="A112" s="928" t="s">
        <v>1308</v>
      </c>
      <c r="B112" s="438"/>
      <c r="C112" s="438" t="s">
        <v>9</v>
      </c>
      <c r="D112" s="495" t="s">
        <v>38</v>
      </c>
      <c r="E112" s="1265">
        <v>5393</v>
      </c>
    </row>
    <row r="113" spans="1:7">
      <c r="A113" s="855" t="s">
        <v>833</v>
      </c>
      <c r="B113" s="795" t="s">
        <v>1309</v>
      </c>
      <c r="C113" s="1152">
        <v>6350</v>
      </c>
      <c r="D113" s="17" t="s">
        <v>107</v>
      </c>
      <c r="E113" s="17">
        <v>4897</v>
      </c>
    </row>
    <row r="114" spans="1:7">
      <c r="A114" s="950" t="s">
        <v>1098</v>
      </c>
      <c r="B114" s="904" t="s">
        <v>507</v>
      </c>
      <c r="C114" s="901">
        <f>E114/4</f>
        <v>3950.5</v>
      </c>
      <c r="D114" s="897" t="s">
        <v>107</v>
      </c>
      <c r="E114" s="897">
        <v>15802</v>
      </c>
      <c r="F114" s="915" t="s">
        <v>1007</v>
      </c>
    </row>
    <row r="115" spans="1:7">
      <c r="A115" s="893" t="s">
        <v>1165</v>
      </c>
      <c r="B115" s="898" t="s">
        <v>806</v>
      </c>
      <c r="C115" s="898">
        <v>7074</v>
      </c>
      <c r="D115" s="898" t="s">
        <v>105</v>
      </c>
      <c r="E115" s="898">
        <v>4224</v>
      </c>
      <c r="F115" s="915" t="s">
        <v>1016</v>
      </c>
    </row>
    <row r="116" spans="1:7">
      <c r="A116" s="1154" t="s">
        <v>690</v>
      </c>
      <c r="B116" s="1154" t="s">
        <v>497</v>
      </c>
      <c r="C116" s="1155">
        <f>E116/4</f>
        <v>4512.5</v>
      </c>
      <c r="D116" s="1139" t="s">
        <v>107</v>
      </c>
      <c r="E116" s="1139">
        <v>18050</v>
      </c>
      <c r="F116" s="915" t="s">
        <v>1010</v>
      </c>
    </row>
    <row r="117" spans="1:7">
      <c r="A117" s="1016" t="s">
        <v>329</v>
      </c>
      <c r="B117" s="1016" t="s">
        <v>507</v>
      </c>
      <c r="C117" s="1156">
        <v>4652</v>
      </c>
      <c r="D117" s="1157" t="s">
        <v>107</v>
      </c>
      <c r="E117" s="1157">
        <v>14823</v>
      </c>
      <c r="F117" s="915" t="s">
        <v>1005</v>
      </c>
    </row>
    <row r="118" spans="1:7">
      <c r="A118" s="1136" t="s">
        <v>273</v>
      </c>
      <c r="B118" s="1136"/>
      <c r="C118" s="1136"/>
      <c r="D118" s="1139" t="s">
        <v>107</v>
      </c>
      <c r="E118" s="1138">
        <v>3500</v>
      </c>
    </row>
    <row r="119" spans="1:7">
      <c r="A119" s="893" t="s">
        <v>777</v>
      </c>
      <c r="B119" s="950"/>
      <c r="C119" s="8"/>
      <c r="D119" s="897" t="s">
        <v>105</v>
      </c>
      <c r="E119" s="898">
        <v>2384</v>
      </c>
      <c r="F119" s="915" t="s">
        <v>995</v>
      </c>
    </row>
    <row r="120" spans="1:7">
      <c r="A120" s="893" t="s">
        <v>1220</v>
      </c>
      <c r="B120" s="62" t="s">
        <v>507</v>
      </c>
      <c r="C120" s="901">
        <v>2583</v>
      </c>
      <c r="D120" s="898" t="s">
        <v>107</v>
      </c>
      <c r="E120" s="898">
        <v>8889</v>
      </c>
      <c r="F120" s="875" t="s">
        <v>894</v>
      </c>
    </row>
    <row r="121" spans="1:7">
      <c r="A121" s="893" t="s">
        <v>1074</v>
      </c>
      <c r="B121" s="893" t="s">
        <v>778</v>
      </c>
      <c r="C121" s="893">
        <v>2583</v>
      </c>
      <c r="D121" s="883" t="s">
        <v>107</v>
      </c>
      <c r="E121" s="898">
        <v>10486</v>
      </c>
      <c r="F121" s="607" t="s">
        <v>1219</v>
      </c>
      <c r="G121" s="430"/>
    </row>
    <row r="122" spans="1:7">
      <c r="A122" s="62" t="s">
        <v>832</v>
      </c>
      <c r="B122" s="62"/>
      <c r="C122" s="62"/>
      <c r="D122" s="898" t="s">
        <v>105</v>
      </c>
      <c r="E122" s="900">
        <v>1888</v>
      </c>
      <c r="F122" t="s">
        <v>1218</v>
      </c>
    </row>
    <row r="123" spans="1:7">
      <c r="A123" s="62" t="s">
        <v>1075</v>
      </c>
      <c r="B123" s="62"/>
      <c r="C123" s="62"/>
      <c r="D123" s="898" t="s">
        <v>105</v>
      </c>
      <c r="E123" s="898">
        <v>900</v>
      </c>
      <c r="F123" t="s">
        <v>1217</v>
      </c>
    </row>
    <row r="124" spans="1:7">
      <c r="A124" s="893" t="s">
        <v>830</v>
      </c>
      <c r="B124" s="893" t="s">
        <v>9</v>
      </c>
      <c r="C124" s="893" t="s">
        <v>9</v>
      </c>
      <c r="D124" s="883" t="s">
        <v>107</v>
      </c>
      <c r="E124" s="905">
        <v>2700</v>
      </c>
      <c r="F124" s="915" t="s">
        <v>1014</v>
      </c>
    </row>
    <row r="125" spans="1:7">
      <c r="A125" s="1146" t="s">
        <v>1229</v>
      </c>
      <c r="B125" s="62" t="s">
        <v>831</v>
      </c>
      <c r="C125" s="901">
        <f>E125*25</f>
        <v>23625</v>
      </c>
      <c r="D125" s="898" t="s">
        <v>105</v>
      </c>
      <c r="E125" s="898">
        <v>945</v>
      </c>
    </row>
    <row r="126" spans="1:7">
      <c r="A126" s="884" t="s">
        <v>779</v>
      </c>
      <c r="B126" s="885"/>
      <c r="C126" s="885"/>
      <c r="D126" s="886" t="s">
        <v>107</v>
      </c>
      <c r="E126" s="887">
        <v>3660</v>
      </c>
    </row>
    <row r="127" spans="1:7">
      <c r="A127" s="1136" t="s">
        <v>460</v>
      </c>
      <c r="B127" s="1139" t="s">
        <v>755</v>
      </c>
      <c r="C127" s="1159">
        <v>36000</v>
      </c>
      <c r="D127" s="434" t="s">
        <v>105</v>
      </c>
      <c r="E127" s="849">
        <v>1652</v>
      </c>
    </row>
    <row r="128" spans="1:7">
      <c r="A128" s="1160" t="s">
        <v>889</v>
      </c>
      <c r="B128" s="1136"/>
      <c r="C128" s="1136"/>
      <c r="D128" s="1139" t="s">
        <v>105</v>
      </c>
      <c r="E128" s="1138">
        <v>1200</v>
      </c>
      <c r="F128" s="607"/>
      <c r="G128" s="430"/>
    </row>
    <row r="129" spans="1:9">
      <c r="A129" s="62" t="s">
        <v>1147</v>
      </c>
      <c r="B129" s="62"/>
      <c r="C129" s="62"/>
      <c r="D129" s="883" t="s">
        <v>107</v>
      </c>
      <c r="E129" s="883">
        <v>4630</v>
      </c>
      <c r="F129" s="915" t="s">
        <v>1012</v>
      </c>
    </row>
    <row r="130" spans="1:9">
      <c r="A130" s="62" t="s">
        <v>1192</v>
      </c>
      <c r="B130" s="62"/>
      <c r="C130" s="62"/>
      <c r="D130" s="795" t="s">
        <v>884</v>
      </c>
      <c r="E130" s="1076">
        <v>3601</v>
      </c>
      <c r="F130" s="961" t="s">
        <v>1018</v>
      </c>
      <c r="H130" s="875" t="s">
        <v>1091</v>
      </c>
    </row>
    <row r="131" spans="1:9">
      <c r="A131" s="1161" t="s">
        <v>1019</v>
      </c>
      <c r="B131" s="1162" t="s">
        <v>999</v>
      </c>
      <c r="C131" s="1163">
        <v>1670</v>
      </c>
      <c r="D131" s="1164" t="s">
        <v>884</v>
      </c>
      <c r="E131" s="1165">
        <f>C131*10</f>
        <v>16700</v>
      </c>
      <c r="F131" s="961" t="s">
        <v>1020</v>
      </c>
    </row>
    <row r="132" spans="1:9">
      <c r="A132" s="8"/>
      <c r="B132" s="8"/>
      <c r="C132" s="8"/>
      <c r="D132" s="17"/>
      <c r="E132" s="17"/>
    </row>
    <row r="133" spans="1:9">
      <c r="A133" s="60" t="s">
        <v>503</v>
      </c>
      <c r="B133" s="60" t="s">
        <v>11</v>
      </c>
      <c r="C133" s="60" t="s">
        <v>194</v>
      </c>
      <c r="D133" s="56" t="s">
        <v>11</v>
      </c>
      <c r="E133" s="56" t="s">
        <v>194</v>
      </c>
    </row>
    <row r="134" spans="1:9">
      <c r="A134" s="8" t="s">
        <v>504</v>
      </c>
      <c r="B134" s="8" t="s">
        <v>505</v>
      </c>
      <c r="C134" s="901">
        <v>2300</v>
      </c>
      <c r="D134" s="897" t="s">
        <v>105</v>
      </c>
      <c r="E134" s="902">
        <f>C134/45</f>
        <v>51.111111111111114</v>
      </c>
    </row>
    <row r="135" spans="1:9">
      <c r="A135" s="62" t="s">
        <v>836</v>
      </c>
      <c r="B135" s="901" t="s">
        <v>780</v>
      </c>
      <c r="C135" s="901">
        <v>3220</v>
      </c>
      <c r="D135" s="434" t="s">
        <v>105</v>
      </c>
      <c r="E135" s="858">
        <f>C135/15</f>
        <v>214.66666666666666</v>
      </c>
    </row>
    <row r="136" spans="1:9">
      <c r="A136" s="1136" t="s">
        <v>781</v>
      </c>
      <c r="B136" s="1136" t="s">
        <v>456</v>
      </c>
      <c r="C136" s="1137">
        <v>8621</v>
      </c>
      <c r="D136" s="1138" t="s">
        <v>105</v>
      </c>
      <c r="E136" s="1166">
        <f>C136/50</f>
        <v>172.42</v>
      </c>
    </row>
    <row r="137" spans="1:9">
      <c r="A137" s="830" t="s">
        <v>1191</v>
      </c>
      <c r="B137" s="8" t="s">
        <v>691</v>
      </c>
      <c r="C137" s="899">
        <v>8054</v>
      </c>
      <c r="D137" s="17" t="s">
        <v>107</v>
      </c>
      <c r="E137" s="900">
        <v>2752</v>
      </c>
      <c r="H137" s="1221" t="s">
        <v>1262</v>
      </c>
      <c r="I137" s="1151">
        <v>14389.285800000001</v>
      </c>
    </row>
    <row r="138" spans="1:9">
      <c r="A138" s="60" t="s">
        <v>115</v>
      </c>
      <c r="B138" s="60" t="s">
        <v>11</v>
      </c>
      <c r="C138" s="60" t="s">
        <v>194</v>
      </c>
      <c r="D138" s="56" t="s">
        <v>11</v>
      </c>
      <c r="E138" s="56" t="s">
        <v>194</v>
      </c>
    </row>
    <row r="139" spans="1:9" ht="25.5">
      <c r="A139" s="854" t="s">
        <v>837</v>
      </c>
      <c r="B139" s="829" t="s">
        <v>500</v>
      </c>
      <c r="C139" s="941">
        <v>14922</v>
      </c>
      <c r="D139" s="941" t="s">
        <v>105</v>
      </c>
      <c r="E139" s="942">
        <f>C139/0.75</f>
        <v>19896</v>
      </c>
      <c r="F139" s="915" t="s">
        <v>908</v>
      </c>
    </row>
    <row r="140" spans="1:9">
      <c r="A140" s="1127" t="s">
        <v>1121</v>
      </c>
      <c r="B140" s="1195" t="s">
        <v>749</v>
      </c>
      <c r="C140" s="869">
        <v>8431</v>
      </c>
      <c r="D140" s="1200" t="s">
        <v>105</v>
      </c>
      <c r="E140" s="1201">
        <f>C140*2</f>
        <v>16862</v>
      </c>
    </row>
    <row r="141" spans="1:9">
      <c r="A141" s="57" t="s">
        <v>750</v>
      </c>
      <c r="B141" s="8" t="s">
        <v>751</v>
      </c>
      <c r="C141" s="943">
        <v>13122</v>
      </c>
      <c r="D141" s="944" t="s">
        <v>105</v>
      </c>
      <c r="E141" s="944">
        <f>C141*10</f>
        <v>131220</v>
      </c>
    </row>
    <row r="142" spans="1:9">
      <c r="A142" s="893" t="s">
        <v>490</v>
      </c>
      <c r="B142" s="893" t="s">
        <v>500</v>
      </c>
      <c r="C142" s="943">
        <v>5112</v>
      </c>
      <c r="D142" s="871" t="s">
        <v>105</v>
      </c>
      <c r="E142" s="871">
        <f>C142/0.75</f>
        <v>6816</v>
      </c>
      <c r="F142" s="915" t="s">
        <v>902</v>
      </c>
    </row>
    <row r="143" spans="1:9">
      <c r="A143" s="950" t="s">
        <v>277</v>
      </c>
      <c r="B143" s="950" t="s">
        <v>497</v>
      </c>
      <c r="C143" s="943">
        <v>8279</v>
      </c>
      <c r="D143" s="89" t="s">
        <v>107</v>
      </c>
      <c r="E143" s="428">
        <v>35000</v>
      </c>
      <c r="F143" s="915" t="s">
        <v>938</v>
      </c>
    </row>
    <row r="144" spans="1:9">
      <c r="A144" s="950" t="s">
        <v>1193</v>
      </c>
      <c r="B144" s="8" t="s">
        <v>753</v>
      </c>
      <c r="C144" s="943">
        <v>4566</v>
      </c>
      <c r="D144" s="945" t="s">
        <v>36</v>
      </c>
      <c r="E144" s="944">
        <v>10200</v>
      </c>
      <c r="F144" s="915" t="s">
        <v>942</v>
      </c>
    </row>
    <row r="145" spans="1:8">
      <c r="A145" s="1075" t="s">
        <v>1122</v>
      </c>
      <c r="B145" s="1075" t="s">
        <v>782</v>
      </c>
      <c r="C145" s="1072">
        <v>1000</v>
      </c>
      <c r="D145" s="1074" t="s">
        <v>105</v>
      </c>
      <c r="E145" s="1074">
        <v>3030</v>
      </c>
      <c r="F145" s="915" t="s">
        <v>928</v>
      </c>
    </row>
    <row r="146" spans="1:8">
      <c r="A146" s="1232" t="s">
        <v>1263</v>
      </c>
      <c r="B146" s="1232"/>
      <c r="C146" s="1233"/>
      <c r="D146" s="1234" t="s">
        <v>38</v>
      </c>
      <c r="E146" s="1234">
        <v>14389.29</v>
      </c>
      <c r="F146" s="432"/>
    </row>
    <row r="147" spans="1:8">
      <c r="A147" s="62" t="s">
        <v>839</v>
      </c>
      <c r="B147" s="62" t="s">
        <v>9</v>
      </c>
      <c r="C147" s="435" t="s">
        <v>9</v>
      </c>
      <c r="D147" s="946" t="s">
        <v>38</v>
      </c>
      <c r="E147" s="946">
        <v>6340</v>
      </c>
    </row>
    <row r="148" spans="1:8">
      <c r="A148" s="1167" t="s">
        <v>784</v>
      </c>
      <c r="B148" s="1158" t="s">
        <v>497</v>
      </c>
      <c r="C148" s="1079">
        <v>2243</v>
      </c>
      <c r="D148" s="1168" t="s">
        <v>107</v>
      </c>
      <c r="E148" s="1168">
        <v>8287</v>
      </c>
      <c r="F148" s="868" t="s">
        <v>1216</v>
      </c>
      <c r="G148" s="868"/>
    </row>
    <row r="149" spans="1:8">
      <c r="A149" s="1077" t="s">
        <v>1194</v>
      </c>
      <c r="B149" s="1078" t="s">
        <v>697</v>
      </c>
      <c r="C149" s="1079">
        <v>4555</v>
      </c>
      <c r="D149" s="1080" t="s">
        <v>105</v>
      </c>
      <c r="E149" s="1080">
        <f>C149*2</f>
        <v>9110</v>
      </c>
      <c r="F149" s="915" t="s">
        <v>912</v>
      </c>
    </row>
    <row r="150" spans="1:8">
      <c r="A150" s="1147" t="s">
        <v>491</v>
      </c>
      <c r="B150" s="1147" t="s">
        <v>510</v>
      </c>
      <c r="C150" s="1196">
        <v>6397</v>
      </c>
      <c r="D150" s="1197" t="s">
        <v>105</v>
      </c>
      <c r="E150" s="1197">
        <f>C150*2</f>
        <v>12794</v>
      </c>
    </row>
    <row r="151" spans="1:8" ht="15">
      <c r="A151" s="992" t="s">
        <v>1123</v>
      </c>
      <c r="B151" s="959"/>
      <c r="C151" s="960"/>
      <c r="D151" s="939" t="s">
        <v>36</v>
      </c>
      <c r="E151" s="939">
        <v>4698</v>
      </c>
      <c r="F151" s="961" t="s">
        <v>919</v>
      </c>
      <c r="G151" s="958"/>
      <c r="H151" s="875" t="s">
        <v>1091</v>
      </c>
    </row>
    <row r="152" spans="1:8">
      <c r="A152" s="1081" t="s">
        <v>892</v>
      </c>
      <c r="B152" s="1081" t="s">
        <v>510</v>
      </c>
      <c r="C152" s="1082">
        <v>9070</v>
      </c>
      <c r="D152" s="1083" t="s">
        <v>105</v>
      </c>
      <c r="E152" s="1084">
        <v>16478</v>
      </c>
      <c r="F152" s="915" t="s">
        <v>915</v>
      </c>
      <c r="H152" s="875" t="s">
        <v>1148</v>
      </c>
    </row>
    <row r="153" spans="1:8">
      <c r="A153" s="1167" t="s">
        <v>492</v>
      </c>
      <c r="B153" s="1167" t="s">
        <v>754</v>
      </c>
      <c r="C153" s="1169">
        <f>E153/5</f>
        <v>3613.2</v>
      </c>
      <c r="D153" s="1170" t="s">
        <v>38</v>
      </c>
      <c r="E153" s="1171">
        <v>18066</v>
      </c>
      <c r="F153" s="915" t="s">
        <v>915</v>
      </c>
      <c r="H153" s="875" t="s">
        <v>1148</v>
      </c>
    </row>
    <row r="154" spans="1:8">
      <c r="A154" s="954" t="s">
        <v>1090</v>
      </c>
      <c r="B154" s="893"/>
      <c r="C154" s="943"/>
      <c r="D154" s="871" t="s">
        <v>107</v>
      </c>
      <c r="E154" s="871">
        <v>8528</v>
      </c>
      <c r="F154" s="915" t="s">
        <v>905</v>
      </c>
    </row>
    <row r="155" spans="1:8">
      <c r="A155" s="893" t="s">
        <v>1086</v>
      </c>
      <c r="B155" s="893" t="s">
        <v>749</v>
      </c>
      <c r="C155" s="943">
        <v>8626</v>
      </c>
      <c r="D155" s="871" t="s">
        <v>105</v>
      </c>
      <c r="E155" s="871">
        <f>C155*2</f>
        <v>17252</v>
      </c>
      <c r="F155" s="915" t="s">
        <v>905</v>
      </c>
    </row>
    <row r="156" spans="1:8">
      <c r="A156" s="893" t="s">
        <v>910</v>
      </c>
      <c r="B156" s="893" t="s">
        <v>699</v>
      </c>
      <c r="C156" s="943">
        <v>4487</v>
      </c>
      <c r="D156" s="871" t="s">
        <v>105</v>
      </c>
      <c r="E156" s="871">
        <f>C156/0.9</f>
        <v>4985.5555555555557</v>
      </c>
      <c r="F156" s="915" t="s">
        <v>905</v>
      </c>
    </row>
    <row r="157" spans="1:8">
      <c r="A157" s="893" t="s">
        <v>1127</v>
      </c>
      <c r="B157" s="883" t="s">
        <v>1128</v>
      </c>
      <c r="C157" s="932">
        <v>5587</v>
      </c>
      <c r="D157" s="932" t="s">
        <v>107</v>
      </c>
      <c r="E157" s="932">
        <f>C157*2</f>
        <v>11174</v>
      </c>
      <c r="F157" t="s">
        <v>516</v>
      </c>
    </row>
    <row r="158" spans="1:8">
      <c r="A158" s="954" t="s">
        <v>930</v>
      </c>
      <c r="B158" s="950" t="s">
        <v>753</v>
      </c>
      <c r="C158" s="943">
        <v>3112</v>
      </c>
      <c r="D158" s="944" t="s">
        <v>105</v>
      </c>
      <c r="E158" s="944">
        <f>C158*2</f>
        <v>6224</v>
      </c>
      <c r="F158" s="915" t="s">
        <v>931</v>
      </c>
    </row>
    <row r="159" spans="1:8">
      <c r="A159" s="830" t="s">
        <v>893</v>
      </c>
      <c r="B159" s="830" t="s">
        <v>698</v>
      </c>
      <c r="C159" s="435">
        <f>C156</f>
        <v>4487</v>
      </c>
      <c r="D159" s="938" t="s">
        <v>105</v>
      </c>
      <c r="E159" s="938">
        <f>C159/0.92</f>
        <v>4877.173913043478</v>
      </c>
      <c r="F159" t="s">
        <v>684</v>
      </c>
    </row>
    <row r="160" spans="1:8">
      <c r="A160" s="1087" t="s">
        <v>502</v>
      </c>
      <c r="B160" s="1087"/>
      <c r="C160" s="1088"/>
      <c r="D160" s="1089" t="s">
        <v>107</v>
      </c>
      <c r="E160" s="1090">
        <v>2300</v>
      </c>
      <c r="F160" s="915" t="s">
        <v>908</v>
      </c>
    </row>
    <row r="161" spans="1:7">
      <c r="A161" s="893" t="s">
        <v>1149</v>
      </c>
      <c r="B161" s="893" t="s">
        <v>699</v>
      </c>
      <c r="C161" s="943">
        <v>3508</v>
      </c>
      <c r="D161" s="932" t="s">
        <v>105</v>
      </c>
      <c r="E161" s="932">
        <f>(C161/900)*1000</f>
        <v>3897.7777777777778</v>
      </c>
      <c r="F161" s="915" t="s">
        <v>908</v>
      </c>
    </row>
    <row r="162" spans="1:7">
      <c r="A162" s="1172" t="s">
        <v>501</v>
      </c>
      <c r="B162" s="1172" t="s">
        <v>700</v>
      </c>
      <c r="C162" s="1173">
        <v>3400</v>
      </c>
      <c r="D162" s="1174" t="s">
        <v>105</v>
      </c>
      <c r="E162" s="1175">
        <f>(C162/750)*1000</f>
        <v>4533.333333333333</v>
      </c>
      <c r="F162" s="915" t="s">
        <v>908</v>
      </c>
    </row>
    <row r="163" spans="1:7">
      <c r="A163" s="1172" t="s">
        <v>1239</v>
      </c>
      <c r="B163" s="1172" t="s">
        <v>753</v>
      </c>
      <c r="C163" s="1173">
        <v>15648</v>
      </c>
      <c r="D163" s="1174" t="s">
        <v>105</v>
      </c>
      <c r="E163" s="1175">
        <f>C163*2</f>
        <v>31296</v>
      </c>
      <c r="F163" s="432"/>
    </row>
    <row r="164" spans="1:7" ht="18.75" customHeight="1">
      <c r="A164" s="8" t="s">
        <v>838</v>
      </c>
      <c r="B164" s="830" t="s">
        <v>1230</v>
      </c>
      <c r="C164" s="435">
        <v>2083</v>
      </c>
      <c r="D164" s="89" t="s">
        <v>105</v>
      </c>
      <c r="E164" s="89">
        <f>C164*2</f>
        <v>4166</v>
      </c>
      <c r="G164" s="1014" t="s">
        <v>9</v>
      </c>
    </row>
    <row r="165" spans="1:7" ht="18.75" customHeight="1">
      <c r="A165" s="1147" t="s">
        <v>1243</v>
      </c>
      <c r="B165" s="1147" t="s">
        <v>36</v>
      </c>
      <c r="C165" s="869">
        <v>15642</v>
      </c>
      <c r="D165" s="1200"/>
      <c r="E165" s="1200"/>
      <c r="G165" s="1014"/>
    </row>
    <row r="166" spans="1:7">
      <c r="A166" s="875" t="s">
        <v>922</v>
      </c>
      <c r="B166" s="1198" t="s">
        <v>754</v>
      </c>
      <c r="C166" s="1007">
        <v>4630</v>
      </c>
      <c r="D166" s="1199" t="s">
        <v>38</v>
      </c>
      <c r="E166" s="1199">
        <v>22434</v>
      </c>
      <c r="F166" s="915" t="s">
        <v>923</v>
      </c>
    </row>
    <row r="167" spans="1:7">
      <c r="A167" s="1091" t="s">
        <v>272</v>
      </c>
      <c r="B167" s="1091" t="s">
        <v>752</v>
      </c>
      <c r="C167" s="1092">
        <v>12300</v>
      </c>
      <c r="D167" s="1093" t="s">
        <v>36</v>
      </c>
      <c r="E167" s="1094">
        <f>C167*2</f>
        <v>24600</v>
      </c>
      <c r="F167" s="1015" t="s">
        <v>1150</v>
      </c>
    </row>
    <row r="168" spans="1:7">
      <c r="A168" s="8" t="s">
        <v>701</v>
      </c>
      <c r="B168" s="904" t="s">
        <v>785</v>
      </c>
      <c r="C168" s="946">
        <f>E168/2</f>
        <v>9948.5</v>
      </c>
      <c r="D168" s="903" t="s">
        <v>107</v>
      </c>
      <c r="E168" s="903">
        <v>19897</v>
      </c>
    </row>
    <row r="169" spans="1:7">
      <c r="A169" s="901" t="s">
        <v>1151</v>
      </c>
      <c r="B169" s="794"/>
      <c r="C169" s="993"/>
      <c r="D169" s="994" t="s">
        <v>36</v>
      </c>
      <c r="E169" s="947">
        <v>11428</v>
      </c>
    </row>
    <row r="170" spans="1:7">
      <c r="A170" s="62" t="s">
        <v>786</v>
      </c>
      <c r="B170" s="62" t="s">
        <v>752</v>
      </c>
      <c r="C170" s="435">
        <v>8443</v>
      </c>
      <c r="D170" s="1095" t="s">
        <v>36</v>
      </c>
      <c r="E170" s="1096">
        <v>17436</v>
      </c>
      <c r="F170" s="922" t="s">
        <v>921</v>
      </c>
      <c r="G170" s="875" t="s">
        <v>1152</v>
      </c>
    </row>
    <row r="171" spans="1:7">
      <c r="A171" s="1097" t="s">
        <v>120</v>
      </c>
      <c r="B171" s="1097" t="s">
        <v>702</v>
      </c>
      <c r="C171" s="1092">
        <v>2600</v>
      </c>
      <c r="D171" s="1098" t="s">
        <v>105</v>
      </c>
      <c r="E171" s="1098">
        <f>C171*5</f>
        <v>13000</v>
      </c>
      <c r="G171" s="875" t="s">
        <v>1152</v>
      </c>
    </row>
    <row r="172" spans="1:7">
      <c r="A172" s="950" t="s">
        <v>1196</v>
      </c>
      <c r="B172" s="901" t="s">
        <v>1128</v>
      </c>
      <c r="C172" s="946">
        <v>13629</v>
      </c>
      <c r="D172" s="429" t="s">
        <v>107</v>
      </c>
      <c r="E172" s="947">
        <f>C172*2</f>
        <v>27258</v>
      </c>
      <c r="F172" s="915" t="s">
        <v>917</v>
      </c>
      <c r="G172" s="875" t="s">
        <v>9</v>
      </c>
    </row>
    <row r="173" spans="1:7">
      <c r="A173" s="1097" t="s">
        <v>787</v>
      </c>
      <c r="B173" s="1097" t="s">
        <v>788</v>
      </c>
      <c r="C173" s="1092">
        <v>2500</v>
      </c>
      <c r="D173" s="1099" t="s">
        <v>36</v>
      </c>
      <c r="E173" s="1100">
        <f>C173*2</f>
        <v>5000</v>
      </c>
      <c r="F173" t="s">
        <v>9</v>
      </c>
      <c r="G173" s="875" t="s">
        <v>1152</v>
      </c>
    </row>
    <row r="174" spans="1:7">
      <c r="A174" s="893" t="s">
        <v>172</v>
      </c>
      <c r="B174" s="893" t="s">
        <v>752</v>
      </c>
      <c r="C174" s="943">
        <v>9824</v>
      </c>
      <c r="D174" s="871" t="s">
        <v>105</v>
      </c>
      <c r="E174" s="871">
        <v>19075</v>
      </c>
      <c r="F174" s="915" t="s">
        <v>933</v>
      </c>
    </row>
    <row r="175" spans="1:7">
      <c r="A175" s="893" t="s">
        <v>275</v>
      </c>
      <c r="B175" s="893" t="s">
        <v>699</v>
      </c>
      <c r="C175" s="943">
        <v>4500</v>
      </c>
      <c r="D175" s="995" t="s">
        <v>105</v>
      </c>
      <c r="E175" s="996">
        <f>C175/0.9</f>
        <v>5000</v>
      </c>
    </row>
    <row r="176" spans="1:7">
      <c r="A176" s="968" t="s">
        <v>1197</v>
      </c>
      <c r="B176" s="997"/>
      <c r="C176" s="998"/>
      <c r="D176" s="969" t="s">
        <v>38</v>
      </c>
      <c r="E176" s="970">
        <v>6773</v>
      </c>
    </row>
    <row r="177" spans="1:10">
      <c r="A177" s="1110" t="s">
        <v>1124</v>
      </c>
      <c r="B177" s="1110" t="s">
        <v>782</v>
      </c>
      <c r="C177" s="1110">
        <v>1356</v>
      </c>
      <c r="D177" s="1110"/>
      <c r="E177" s="1111" t="s">
        <v>9</v>
      </c>
      <c r="F177" s="971" t="s">
        <v>9</v>
      </c>
      <c r="G177" s="875" t="s">
        <v>1094</v>
      </c>
    </row>
    <row r="179" spans="1:10">
      <c r="A179" s="60" t="s">
        <v>121</v>
      </c>
      <c r="B179" s="60" t="s">
        <v>11</v>
      </c>
      <c r="C179" s="60" t="s">
        <v>194</v>
      </c>
      <c r="D179" s="56" t="s">
        <v>11</v>
      </c>
      <c r="E179" s="56" t="s">
        <v>194</v>
      </c>
    </row>
    <row r="181" spans="1:10">
      <c r="A181" s="62" t="s">
        <v>1153</v>
      </c>
      <c r="B181" s="950" t="s">
        <v>1092</v>
      </c>
      <c r="C181" s="943">
        <f>E181/4</f>
        <v>1808.25</v>
      </c>
      <c r="D181" s="944" t="s">
        <v>105</v>
      </c>
      <c r="E181" s="944">
        <v>7233</v>
      </c>
      <c r="F181" s="963" t="s">
        <v>925</v>
      </c>
      <c r="G181" s="962"/>
    </row>
    <row r="182" spans="1:10" s="868" customFormat="1">
      <c r="A182" s="1016" t="s">
        <v>1125</v>
      </c>
      <c r="B182" s="1017" t="s">
        <v>789</v>
      </c>
      <c r="C182" s="1018">
        <v>2771</v>
      </c>
      <c r="D182" s="1017" t="s">
        <v>107</v>
      </c>
      <c r="E182" s="1018">
        <f>C182*10</f>
        <v>27710</v>
      </c>
      <c r="F182" s="868" t="s">
        <v>681</v>
      </c>
    </row>
    <row r="183" spans="1:10" s="868" customFormat="1">
      <c r="A183" s="1206" t="s">
        <v>1253</v>
      </c>
      <c r="B183" s="1207" t="s">
        <v>1254</v>
      </c>
      <c r="C183" s="1208">
        <v>6114</v>
      </c>
      <c r="D183" s="1207"/>
      <c r="E183" s="1208"/>
    </row>
    <row r="184" spans="1:10">
      <c r="A184" s="1087" t="s">
        <v>282</v>
      </c>
      <c r="B184" s="1101" t="s">
        <v>283</v>
      </c>
      <c r="C184" s="1089">
        <v>8200</v>
      </c>
      <c r="D184" s="1101" t="s">
        <v>105</v>
      </c>
      <c r="E184" s="1089">
        <f>C184/15</f>
        <v>546.66666666666663</v>
      </c>
      <c r="G184" s="875" t="s">
        <v>1152</v>
      </c>
    </row>
    <row r="185" spans="1:10">
      <c r="A185" s="1091" t="s">
        <v>979</v>
      </c>
      <c r="B185" s="1102"/>
      <c r="C185" s="1103" t="s">
        <v>9</v>
      </c>
      <c r="D185" s="1104" t="s">
        <v>38</v>
      </c>
      <c r="E185" s="1105">
        <v>7520</v>
      </c>
      <c r="F185" s="922" t="s">
        <v>980</v>
      </c>
      <c r="G185" s="875" t="s">
        <v>1152</v>
      </c>
    </row>
    <row r="186" spans="1:10">
      <c r="A186" s="57" t="s">
        <v>122</v>
      </c>
      <c r="B186" s="897" t="s">
        <v>789</v>
      </c>
      <c r="C186" s="932">
        <v>3504</v>
      </c>
      <c r="D186" s="58" t="s">
        <v>107</v>
      </c>
      <c r="E186" s="932">
        <v>32000</v>
      </c>
      <c r="F186" s="915" t="s">
        <v>955</v>
      </c>
    </row>
    <row r="187" spans="1:10">
      <c r="A187" s="1210" t="s">
        <v>1088</v>
      </c>
      <c r="B187" s="1063" t="s">
        <v>1256</v>
      </c>
      <c r="C187" s="1209">
        <v>5731</v>
      </c>
      <c r="D187" s="1063" t="s">
        <v>107</v>
      </c>
      <c r="E187" s="1209">
        <f>C187*20</f>
        <v>114620</v>
      </c>
      <c r="F187" s="915" t="s">
        <v>962</v>
      </c>
      <c r="I187" s="875" t="s">
        <v>9</v>
      </c>
      <c r="J187" s="875" t="s">
        <v>9</v>
      </c>
    </row>
    <row r="188" spans="1:10">
      <c r="A188" s="950" t="s">
        <v>1126</v>
      </c>
      <c r="B188" s="894" t="s">
        <v>495</v>
      </c>
      <c r="C188" s="932">
        <v>7124</v>
      </c>
      <c r="D188" s="897" t="s">
        <v>105</v>
      </c>
      <c r="E188" s="903">
        <f>C188*5</f>
        <v>35620</v>
      </c>
      <c r="F188" s="915" t="s">
        <v>952</v>
      </c>
    </row>
    <row r="189" spans="1:10">
      <c r="A189" s="1211" t="s">
        <v>125</v>
      </c>
      <c r="B189" s="1212"/>
      <c r="C189" s="1213"/>
      <c r="D189" s="1212" t="s">
        <v>126</v>
      </c>
      <c r="E189" s="1213">
        <v>800</v>
      </c>
      <c r="F189" s="1214"/>
      <c r="G189" s="1215" t="s">
        <v>1152</v>
      </c>
      <c r="H189" s="1216" t="s">
        <v>1231</v>
      </c>
      <c r="I189" s="1214"/>
    </row>
    <row r="190" spans="1:10">
      <c r="A190" s="950" t="s">
        <v>1158</v>
      </c>
      <c r="B190" s="897" t="s">
        <v>105</v>
      </c>
      <c r="C190" s="932">
        <v>3472</v>
      </c>
      <c r="D190" s="434" t="s">
        <v>806</v>
      </c>
      <c r="E190" s="947">
        <v>7119</v>
      </c>
      <c r="F190" t="s">
        <v>679</v>
      </c>
      <c r="G190" s="915" t="s">
        <v>960</v>
      </c>
    </row>
    <row r="191" spans="1:10">
      <c r="A191" s="830" t="s">
        <v>790</v>
      </c>
      <c r="B191" s="17" t="s">
        <v>791</v>
      </c>
      <c r="C191" s="750">
        <v>2104</v>
      </c>
      <c r="D191" s="434" t="s">
        <v>38</v>
      </c>
      <c r="E191" s="949">
        <v>3803</v>
      </c>
    </row>
    <row r="192" spans="1:10">
      <c r="A192" s="954" t="s">
        <v>969</v>
      </c>
      <c r="B192" s="17" t="s">
        <v>507</v>
      </c>
      <c r="C192" s="932">
        <v>2903</v>
      </c>
      <c r="D192" s="434" t="s">
        <v>38</v>
      </c>
      <c r="E192" s="947">
        <v>10818</v>
      </c>
      <c r="F192" s="915" t="s">
        <v>970</v>
      </c>
    </row>
    <row r="193" spans="1:11">
      <c r="A193" s="830" t="s">
        <v>1154</v>
      </c>
      <c r="B193" s="8"/>
      <c r="C193" s="327"/>
      <c r="D193" s="932" t="s">
        <v>107</v>
      </c>
      <c r="E193" s="932">
        <v>7893</v>
      </c>
      <c r="F193" t="s">
        <v>683</v>
      </c>
    </row>
    <row r="194" spans="1:11">
      <c r="A194" s="62" t="s">
        <v>520</v>
      </c>
      <c r="B194" s="17"/>
      <c r="C194" s="89"/>
      <c r="D194" s="434" t="s">
        <v>38</v>
      </c>
      <c r="E194" s="750">
        <v>7540</v>
      </c>
      <c r="F194" t="s">
        <v>521</v>
      </c>
    </row>
    <row r="195" spans="1:11">
      <c r="A195" s="1142" t="s">
        <v>1222</v>
      </c>
      <c r="B195" s="1143" t="s">
        <v>806</v>
      </c>
      <c r="C195" s="1144">
        <v>2677</v>
      </c>
      <c r="D195" s="1143" t="s">
        <v>105</v>
      </c>
      <c r="E195" s="1144">
        <f>C195/2</f>
        <v>1338.5</v>
      </c>
      <c r="F195" s="1145" t="s">
        <v>508</v>
      </c>
      <c r="J195" s="1237" t="s">
        <v>1285</v>
      </c>
      <c r="K195" s="1238">
        <v>9089.7523999999994</v>
      </c>
    </row>
    <row r="196" spans="1:11">
      <c r="A196" s="57" t="s">
        <v>792</v>
      </c>
      <c r="B196" s="795" t="s">
        <v>1129</v>
      </c>
      <c r="C196" s="750">
        <v>1015</v>
      </c>
      <c r="D196" s="434" t="s">
        <v>105</v>
      </c>
      <c r="E196" s="750">
        <f>(C196/454)*1000</f>
        <v>2235.6828193832603</v>
      </c>
      <c r="F196" t="s">
        <v>680</v>
      </c>
      <c r="H196" s="875" t="s">
        <v>9</v>
      </c>
    </row>
    <row r="197" spans="1:11">
      <c r="A197" s="1107" t="s">
        <v>493</v>
      </c>
      <c r="B197" s="1108" t="s">
        <v>506</v>
      </c>
      <c r="C197" s="1109">
        <v>50686</v>
      </c>
      <c r="D197" s="1108" t="s">
        <v>105</v>
      </c>
      <c r="E197" s="1109">
        <f>C197/15</f>
        <v>3379.0666666666666</v>
      </c>
      <c r="F197" s="965" t="s">
        <v>975</v>
      </c>
      <c r="G197" s="875" t="s">
        <v>9</v>
      </c>
    </row>
    <row r="198" spans="1:11">
      <c r="A198" s="62" t="s">
        <v>496</v>
      </c>
      <c r="B198" s="897" t="s">
        <v>283</v>
      </c>
      <c r="C198" s="932">
        <v>80800</v>
      </c>
      <c r="D198" s="897" t="s">
        <v>105</v>
      </c>
      <c r="E198" s="932">
        <f>C198/15</f>
        <v>5386.666666666667</v>
      </c>
      <c r="F198" t="s">
        <v>511</v>
      </c>
    </row>
    <row r="199" spans="1:11">
      <c r="A199" s="950" t="s">
        <v>470</v>
      </c>
      <c r="B199" s="894" t="s">
        <v>789</v>
      </c>
      <c r="C199" s="943">
        <v>8988</v>
      </c>
      <c r="D199" s="894" t="s">
        <v>107</v>
      </c>
      <c r="E199" s="871">
        <v>88000</v>
      </c>
      <c r="F199" s="833" t="s">
        <v>512</v>
      </c>
    </row>
    <row r="200" spans="1:11">
      <c r="A200" s="830" t="s">
        <v>1087</v>
      </c>
      <c r="B200" s="58" t="s">
        <v>510</v>
      </c>
      <c r="C200" s="750">
        <v>10192</v>
      </c>
      <c r="D200" s="17" t="s">
        <v>105</v>
      </c>
      <c r="E200" s="428">
        <f>C200*2</f>
        <v>20384</v>
      </c>
      <c r="F200" t="s">
        <v>509</v>
      </c>
    </row>
    <row r="201" spans="1:11">
      <c r="A201" s="62" t="s">
        <v>469</v>
      </c>
      <c r="B201" s="832"/>
      <c r="C201" s="931"/>
      <c r="D201" s="898" t="s">
        <v>107</v>
      </c>
      <c r="E201" s="932">
        <v>9361</v>
      </c>
    </row>
    <row r="202" spans="1:11">
      <c r="A202" s="8" t="s">
        <v>807</v>
      </c>
      <c r="B202" s="897" t="s">
        <v>517</v>
      </c>
      <c r="C202" s="932">
        <v>5283</v>
      </c>
      <c r="D202" s="897" t="s">
        <v>107</v>
      </c>
      <c r="E202" s="903">
        <f>(C202/125)*1000</f>
        <v>42264</v>
      </c>
      <c r="F202" t="s">
        <v>518</v>
      </c>
    </row>
    <row r="203" spans="1:11">
      <c r="A203" s="1146" t="s">
        <v>1286</v>
      </c>
      <c r="B203" s="1152" t="s">
        <v>1287</v>
      </c>
      <c r="C203" s="1239">
        <v>9090</v>
      </c>
      <c r="D203" s="897"/>
      <c r="E203" s="903"/>
    </row>
    <row r="204" spans="1:11">
      <c r="A204" s="62" t="s">
        <v>513</v>
      </c>
      <c r="B204" s="58" t="s">
        <v>515</v>
      </c>
      <c r="C204" s="750">
        <v>8337</v>
      </c>
      <c r="D204" s="17" t="s">
        <v>107</v>
      </c>
      <c r="E204" s="750">
        <f>C204*4</f>
        <v>33348</v>
      </c>
      <c r="F204" t="s">
        <v>514</v>
      </c>
    </row>
    <row r="205" spans="1:11">
      <c r="A205" s="950" t="s">
        <v>1089</v>
      </c>
      <c r="B205" s="957" t="s">
        <v>507</v>
      </c>
      <c r="C205" s="948">
        <v>2443</v>
      </c>
      <c r="D205" s="898" t="s">
        <v>38</v>
      </c>
      <c r="E205" s="932">
        <v>6565</v>
      </c>
      <c r="F205" s="831" t="s">
        <v>508</v>
      </c>
    </row>
    <row r="206" spans="1:11">
      <c r="A206" s="950" t="s">
        <v>494</v>
      </c>
      <c r="B206" s="894" t="s">
        <v>283</v>
      </c>
      <c r="C206" s="932">
        <v>28098</v>
      </c>
      <c r="D206" s="897" t="s">
        <v>105</v>
      </c>
      <c r="E206" s="932">
        <v>2300</v>
      </c>
      <c r="F206" s="915" t="s">
        <v>966</v>
      </c>
      <c r="G206" s="875" t="s">
        <v>1155</v>
      </c>
    </row>
    <row r="207" spans="1:11">
      <c r="A207" s="1110" t="s">
        <v>976</v>
      </c>
      <c r="B207" s="1111" t="s">
        <v>785</v>
      </c>
      <c r="C207" s="1112">
        <v>3180</v>
      </c>
      <c r="D207" s="1111" t="s">
        <v>38</v>
      </c>
      <c r="E207" s="1106">
        <v>5756</v>
      </c>
      <c r="F207" s="915" t="s">
        <v>977</v>
      </c>
    </row>
    <row r="208" spans="1:11">
      <c r="A208" s="830" t="s">
        <v>499</v>
      </c>
      <c r="D208" s="897" t="s">
        <v>107</v>
      </c>
      <c r="E208" s="932">
        <v>17177</v>
      </c>
    </row>
    <row r="209" spans="1:8">
      <c r="A209" s="1091" t="s">
        <v>827</v>
      </c>
      <c r="B209" s="1091" t="s">
        <v>828</v>
      </c>
      <c r="C209" s="1092">
        <v>8050</v>
      </c>
      <c r="D209" s="1113" t="s">
        <v>107</v>
      </c>
      <c r="E209" s="1098">
        <f>C209/3.7</f>
        <v>2175.6756756756754</v>
      </c>
      <c r="F209" s="952" t="s">
        <v>1130</v>
      </c>
      <c r="H209" s="875" t="s">
        <v>1152</v>
      </c>
    </row>
    <row r="210" spans="1:8">
      <c r="A210" s="1114" t="s">
        <v>471</v>
      </c>
      <c r="B210" s="1114"/>
      <c r="C210" s="1115"/>
      <c r="D210" s="1116" t="s">
        <v>107</v>
      </c>
      <c r="E210" s="1117">
        <v>65000</v>
      </c>
      <c r="G210" s="875" t="s">
        <v>1152</v>
      </c>
    </row>
    <row r="211" spans="1:8">
      <c r="A211" s="950" t="s">
        <v>470</v>
      </c>
      <c r="B211" s="894" t="s">
        <v>789</v>
      </c>
      <c r="C211" s="943">
        <v>9888</v>
      </c>
      <c r="D211" s="894" t="s">
        <v>107</v>
      </c>
      <c r="E211" s="871">
        <v>97000</v>
      </c>
      <c r="F211" s="915" t="s">
        <v>512</v>
      </c>
    </row>
    <row r="212" spans="1:8">
      <c r="A212" s="951" t="s">
        <v>1156</v>
      </c>
      <c r="B212" s="830" t="s">
        <v>1157</v>
      </c>
      <c r="C212" s="8">
        <v>6237</v>
      </c>
      <c r="D212" s="225" t="s">
        <v>38</v>
      </c>
      <c r="E212" s="871">
        <v>11203</v>
      </c>
      <c r="F212" s="915" t="s">
        <v>958</v>
      </c>
    </row>
    <row r="213" spans="1:8">
      <c r="D213" s="175"/>
      <c r="E213" s="227"/>
    </row>
    <row r="214" spans="1:8">
      <c r="A214" s="148"/>
      <c r="D214" s="175"/>
      <c r="E214" s="58"/>
    </row>
    <row r="215" spans="1:8">
      <c r="A215" s="60" t="s">
        <v>128</v>
      </c>
      <c r="B215" s="60" t="s">
        <v>11</v>
      </c>
      <c r="C215" s="60" t="s">
        <v>194</v>
      </c>
      <c r="D215" s="56" t="s">
        <v>11</v>
      </c>
      <c r="E215" s="56" t="s">
        <v>194</v>
      </c>
    </row>
    <row r="216" spans="1:8">
      <c r="A216" s="929" t="s">
        <v>1084</v>
      </c>
      <c r="B216" s="434" t="s">
        <v>1157</v>
      </c>
      <c r="C216" s="750">
        <v>7331</v>
      </c>
      <c r="D216" s="938" t="s">
        <v>107</v>
      </c>
      <c r="E216" s="428">
        <v>14000</v>
      </c>
      <c r="F216" s="930" t="s">
        <v>1081</v>
      </c>
    </row>
    <row r="217" spans="1:8">
      <c r="A217" s="1118" t="s">
        <v>462</v>
      </c>
      <c r="B217" s="1119"/>
      <c r="C217" s="1090"/>
      <c r="D217" s="1090" t="s">
        <v>36</v>
      </c>
      <c r="E217" s="1090">
        <v>2600</v>
      </c>
      <c r="F217" s="875" t="s">
        <v>1152</v>
      </c>
    </row>
    <row r="218" spans="1:8">
      <c r="A218" s="63" t="s">
        <v>278</v>
      </c>
      <c r="B218" s="58" t="s">
        <v>498</v>
      </c>
      <c r="C218" s="932">
        <v>8821</v>
      </c>
      <c r="D218" s="903" t="s">
        <v>38</v>
      </c>
      <c r="E218" s="932">
        <v>2595</v>
      </c>
    </row>
    <row r="219" spans="1:8">
      <c r="A219" s="827" t="s">
        <v>129</v>
      </c>
      <c r="B219" s="495" t="s">
        <v>497</v>
      </c>
      <c r="C219" s="933">
        <v>5552</v>
      </c>
      <c r="D219" s="934" t="s">
        <v>38</v>
      </c>
      <c r="E219" s="933">
        <v>18520</v>
      </c>
    </row>
    <row r="220" spans="1:8">
      <c r="A220" s="1202" t="s">
        <v>1247</v>
      </c>
      <c r="B220" s="1203" t="s">
        <v>280</v>
      </c>
      <c r="C220" s="1204">
        <v>11465</v>
      </c>
      <c r="D220" s="1205" t="s">
        <v>38</v>
      </c>
      <c r="E220" s="1204">
        <v>3343</v>
      </c>
      <c r="F220" s="875" t="s">
        <v>1248</v>
      </c>
    </row>
    <row r="221" spans="1:8">
      <c r="A221" s="611" t="s">
        <v>1131</v>
      </c>
      <c r="B221" s="495" t="s">
        <v>507</v>
      </c>
      <c r="C221" s="933">
        <v>7499</v>
      </c>
      <c r="D221" s="862" t="s">
        <v>38</v>
      </c>
      <c r="E221" s="935">
        <v>25000</v>
      </c>
    </row>
    <row r="222" spans="1:8">
      <c r="A222" s="440" t="s">
        <v>279</v>
      </c>
      <c r="B222" s="495" t="s">
        <v>497</v>
      </c>
      <c r="C222" s="933">
        <v>3534</v>
      </c>
      <c r="D222" s="935" t="s">
        <v>38</v>
      </c>
      <c r="E222" s="935">
        <f>C222*4</f>
        <v>14136</v>
      </c>
      <c r="F222" s="719" t="s">
        <v>682</v>
      </c>
    </row>
    <row r="223" spans="1:8">
      <c r="A223" s="928" t="s">
        <v>1159</v>
      </c>
      <c r="B223" s="495" t="s">
        <v>280</v>
      </c>
      <c r="C223" s="933">
        <v>7727</v>
      </c>
      <c r="D223" s="935" t="s">
        <v>38</v>
      </c>
      <c r="E223" s="933">
        <v>2235</v>
      </c>
    </row>
    <row r="224" spans="1:8">
      <c r="A224" s="1091" t="s">
        <v>281</v>
      </c>
      <c r="B224" s="1113" t="s">
        <v>280</v>
      </c>
      <c r="C224" s="1098">
        <v>11000</v>
      </c>
      <c r="D224" s="1120" t="s">
        <v>38</v>
      </c>
      <c r="E224" s="1098">
        <f>C224/3.8</f>
        <v>2894.7368421052633</v>
      </c>
      <c r="F224" s="875" t="s">
        <v>1152</v>
      </c>
    </row>
    <row r="225" spans="1:7">
      <c r="A225" s="928" t="s">
        <v>1132</v>
      </c>
      <c r="B225" s="940" t="s">
        <v>9</v>
      </c>
      <c r="C225" s="933" t="s">
        <v>9</v>
      </c>
      <c r="D225" s="935" t="s">
        <v>105</v>
      </c>
      <c r="E225" s="933">
        <v>5791</v>
      </c>
    </row>
    <row r="226" spans="1:7">
      <c r="A226" s="1002" t="s">
        <v>1083</v>
      </c>
      <c r="B226" s="826" t="s">
        <v>510</v>
      </c>
      <c r="C226" s="936">
        <v>20882</v>
      </c>
      <c r="D226" s="936" t="s">
        <v>36</v>
      </c>
      <c r="E226" s="936">
        <f>C226*2</f>
        <v>41764</v>
      </c>
    </row>
    <row r="227" spans="1:7">
      <c r="A227" s="1091" t="s">
        <v>1085</v>
      </c>
      <c r="B227" s="1091"/>
      <c r="C227" s="1091"/>
      <c r="D227" s="1113" t="s">
        <v>107</v>
      </c>
      <c r="E227" s="1098">
        <v>8635</v>
      </c>
      <c r="F227" s="875" t="s">
        <v>1152</v>
      </c>
    </row>
    <row r="228" spans="1:7">
      <c r="A228" s="63"/>
      <c r="B228" s="58"/>
      <c r="C228" s="58"/>
      <c r="D228" s="17"/>
      <c r="E228" s="58"/>
    </row>
    <row r="229" spans="1:7">
      <c r="A229" s="63"/>
      <c r="B229" s="58"/>
      <c r="C229" s="58"/>
      <c r="D229" s="17"/>
      <c r="E229" s="58"/>
    </row>
    <row r="230" spans="1:7">
      <c r="A230" s="58"/>
      <c r="B230" s="58"/>
      <c r="C230" s="58"/>
      <c r="D230" s="58"/>
      <c r="E230" s="58"/>
    </row>
    <row r="231" spans="1:7">
      <c r="A231" s="60" t="s">
        <v>130</v>
      </c>
      <c r="B231" s="60" t="s">
        <v>11</v>
      </c>
      <c r="C231" s="60" t="s">
        <v>194</v>
      </c>
      <c r="D231" s="56" t="s">
        <v>11</v>
      </c>
      <c r="E231" s="56" t="s">
        <v>194</v>
      </c>
    </row>
    <row r="232" spans="1:7">
      <c r="A232" s="611" t="s">
        <v>758</v>
      </c>
      <c r="B232" s="940" t="s">
        <v>497</v>
      </c>
      <c r="C232" s="936">
        <v>1208</v>
      </c>
      <c r="D232" s="1086" t="s">
        <v>1195</v>
      </c>
      <c r="E232" s="936">
        <v>18159</v>
      </c>
      <c r="F232" t="s">
        <v>522</v>
      </c>
      <c r="G232" s="796" t="s">
        <v>757</v>
      </c>
    </row>
    <row r="233" spans="1:7">
      <c r="A233" s="1003" t="s">
        <v>1160</v>
      </c>
      <c r="B233" s="972" t="s">
        <v>497</v>
      </c>
      <c r="C233" s="1005">
        <v>3528</v>
      </c>
      <c r="D233" s="1004" t="s">
        <v>38</v>
      </c>
      <c r="E233" s="973">
        <f>C233*4</f>
        <v>14112</v>
      </c>
      <c r="F233" s="834" t="s">
        <v>524</v>
      </c>
    </row>
    <row r="234" spans="1:7">
      <c r="A234" s="8" t="s">
        <v>840</v>
      </c>
      <c r="B234" s="17"/>
      <c r="C234" s="89"/>
      <c r="D234" s="937" t="s">
        <v>38</v>
      </c>
      <c r="E234" s="938">
        <v>2293</v>
      </c>
      <c r="F234" t="s">
        <v>522</v>
      </c>
    </row>
    <row r="235" spans="1:7">
      <c r="A235" s="62" t="s">
        <v>523</v>
      </c>
      <c r="B235" s="17" t="s">
        <v>526</v>
      </c>
      <c r="C235" s="750">
        <v>1870</v>
      </c>
      <c r="D235" s="937" t="s">
        <v>38</v>
      </c>
      <c r="E235" s="750">
        <v>6107</v>
      </c>
      <c r="F235" t="s">
        <v>525</v>
      </c>
    </row>
    <row r="236" spans="1:7">
      <c r="A236" s="830" t="s">
        <v>1168</v>
      </c>
      <c r="B236" s="8"/>
      <c r="C236" s="8"/>
      <c r="D236" s="937" t="s">
        <v>38</v>
      </c>
      <c r="E236" s="750">
        <v>5716</v>
      </c>
    </row>
    <row r="238" spans="1:7">
      <c r="A238" s="494" t="s">
        <v>489</v>
      </c>
      <c r="G238" s="1085" t="s">
        <v>9</v>
      </c>
    </row>
    <row r="239" spans="1:7">
      <c r="A239" s="53" t="s">
        <v>808</v>
      </c>
      <c r="G239" s="1085" t="s">
        <v>9</v>
      </c>
    </row>
    <row r="240" spans="1:7">
      <c r="A240" s="53" t="s">
        <v>760</v>
      </c>
    </row>
    <row r="241" spans="1:4">
      <c r="A241" s="53"/>
    </row>
    <row r="242" spans="1:4">
      <c r="A242" s="53" t="s">
        <v>658</v>
      </c>
    </row>
    <row r="243" spans="1:4">
      <c r="A243" s="60" t="s">
        <v>675</v>
      </c>
      <c r="B243" s="60" t="s">
        <v>676</v>
      </c>
    </row>
    <row r="244" spans="1:4">
      <c r="A244" s="8" t="s">
        <v>659</v>
      </c>
      <c r="B244" s="17" t="s">
        <v>660</v>
      </c>
    </row>
    <row r="245" spans="1:4">
      <c r="A245" s="8" t="s">
        <v>661</v>
      </c>
      <c r="B245" s="17" t="s">
        <v>662</v>
      </c>
    </row>
    <row r="246" spans="1:4">
      <c r="A246" s="63" t="s">
        <v>663</v>
      </c>
      <c r="B246" s="17" t="s">
        <v>664</v>
      </c>
    </row>
    <row r="247" spans="1:4">
      <c r="A247" s="717" t="s">
        <v>665</v>
      </c>
      <c r="B247" s="17" t="s">
        <v>666</v>
      </c>
    </row>
    <row r="248" spans="1:4">
      <c r="A248" s="717" t="s">
        <v>667</v>
      </c>
      <c r="B248" s="439" t="s">
        <v>668</v>
      </c>
    </row>
    <row r="249" spans="1:4">
      <c r="A249" s="717" t="s">
        <v>669</v>
      </c>
      <c r="B249" s="718" t="s">
        <v>670</v>
      </c>
    </row>
    <row r="250" spans="1:4">
      <c r="A250" s="717" t="s">
        <v>671</v>
      </c>
      <c r="B250" s="718" t="s">
        <v>672</v>
      </c>
    </row>
    <row r="251" spans="1:4">
      <c r="A251" s="717" t="s">
        <v>673</v>
      </c>
      <c r="B251" s="718" t="s">
        <v>674</v>
      </c>
    </row>
    <row r="252" spans="1:4">
      <c r="A252" s="609" t="s">
        <v>677</v>
      </c>
      <c r="B252" s="610"/>
    </row>
    <row r="253" spans="1:4">
      <c r="A253" s="609" t="s">
        <v>678</v>
      </c>
      <c r="B253" s="610"/>
    </row>
    <row r="254" spans="1:4">
      <c r="A254" s="609"/>
      <c r="B254" s="720" t="s">
        <v>693</v>
      </c>
      <c r="C254" s="721"/>
      <c r="D254" s="721"/>
    </row>
    <row r="255" spans="1:4">
      <c r="B255" s="722" t="s">
        <v>691</v>
      </c>
      <c r="C255" s="724">
        <v>3.7850000000000001</v>
      </c>
      <c r="D255" s="434" t="s">
        <v>692</v>
      </c>
    </row>
    <row r="256" spans="1:4">
      <c r="A256" s="609"/>
      <c r="B256" s="723" t="s">
        <v>105</v>
      </c>
      <c r="C256" s="724">
        <v>2.2000000000000002</v>
      </c>
      <c r="D256" s="434" t="s">
        <v>694</v>
      </c>
    </row>
    <row r="257" spans="1:4">
      <c r="A257" s="609"/>
      <c r="B257" s="723" t="s">
        <v>695</v>
      </c>
      <c r="C257" s="434">
        <v>0.62</v>
      </c>
      <c r="D257" s="434" t="s">
        <v>696</v>
      </c>
    </row>
    <row r="258" spans="1:4">
      <c r="A258" s="42"/>
      <c r="B258" s="723" t="s">
        <v>710</v>
      </c>
      <c r="C258" s="750">
        <v>828</v>
      </c>
      <c r="D258" s="723" t="s">
        <v>105</v>
      </c>
    </row>
    <row r="259" spans="1:4">
      <c r="A259" s="432"/>
      <c r="B259" s="432"/>
    </row>
    <row r="260" spans="1:4">
      <c r="A260" s="53" t="s">
        <v>841</v>
      </c>
      <c r="B260" s="1121" t="s">
        <v>1198</v>
      </c>
    </row>
    <row r="261" spans="1:4">
      <c r="A261" s="855" t="s">
        <v>811</v>
      </c>
      <c r="B261" s="89">
        <v>42017</v>
      </c>
      <c r="C261" s="17" t="s">
        <v>350</v>
      </c>
    </row>
    <row r="262" spans="1:4">
      <c r="A262" s="8" t="s">
        <v>812</v>
      </c>
      <c r="B262" s="89">
        <v>423218</v>
      </c>
      <c r="C262" s="17" t="s">
        <v>350</v>
      </c>
    </row>
    <row r="263" spans="1:4">
      <c r="A263" s="8" t="s">
        <v>813</v>
      </c>
      <c r="B263" s="89">
        <v>500</v>
      </c>
      <c r="C263" s="17" t="s">
        <v>350</v>
      </c>
    </row>
    <row r="264" spans="1:4">
      <c r="A264" s="8" t="s">
        <v>814</v>
      </c>
      <c r="B264" s="89">
        <v>4786</v>
      </c>
      <c r="C264" s="17" t="s">
        <v>350</v>
      </c>
    </row>
    <row r="265" spans="1:4">
      <c r="A265" s="8" t="s">
        <v>815</v>
      </c>
      <c r="B265" s="89">
        <v>35928</v>
      </c>
      <c r="C265" s="17" t="s">
        <v>350</v>
      </c>
    </row>
    <row r="266" spans="1:4">
      <c r="A266" s="8" t="s">
        <v>816</v>
      </c>
      <c r="B266" s="89">
        <v>5160</v>
      </c>
      <c r="C266" s="17" t="s">
        <v>350</v>
      </c>
    </row>
    <row r="267" spans="1:4">
      <c r="A267" s="8" t="s">
        <v>817</v>
      </c>
      <c r="B267" s="89">
        <v>115</v>
      </c>
      <c r="C267" s="17" t="s">
        <v>350</v>
      </c>
    </row>
    <row r="268" spans="1:4">
      <c r="A268" s="8" t="s">
        <v>818</v>
      </c>
      <c r="B268" s="89">
        <v>93821</v>
      </c>
      <c r="C268" s="17" t="s">
        <v>350</v>
      </c>
    </row>
    <row r="269" spans="1:4">
      <c r="A269" s="8" t="s">
        <v>819</v>
      </c>
      <c r="B269" s="89">
        <v>4777</v>
      </c>
      <c r="C269" s="17" t="s">
        <v>350</v>
      </c>
    </row>
    <row r="270" spans="1:4">
      <c r="A270" s="8" t="s">
        <v>820</v>
      </c>
      <c r="B270" s="89">
        <v>4788</v>
      </c>
      <c r="C270" s="17" t="s">
        <v>350</v>
      </c>
    </row>
    <row r="271" spans="1:4">
      <c r="A271" s="8" t="s">
        <v>821</v>
      </c>
      <c r="B271" s="89">
        <v>48</v>
      </c>
      <c r="C271" s="17" t="s">
        <v>350</v>
      </c>
    </row>
    <row r="272" spans="1:4">
      <c r="A272" s="8" t="s">
        <v>822</v>
      </c>
      <c r="B272" s="89">
        <v>4521</v>
      </c>
      <c r="C272" s="17" t="s">
        <v>350</v>
      </c>
    </row>
    <row r="273" spans="1:3">
      <c r="A273" s="8" t="s">
        <v>823</v>
      </c>
      <c r="B273" s="89">
        <v>5040</v>
      </c>
      <c r="C273" s="17" t="s">
        <v>350</v>
      </c>
    </row>
    <row r="274" spans="1:3">
      <c r="A274" s="8" t="s">
        <v>824</v>
      </c>
      <c r="B274" s="89">
        <v>10598</v>
      </c>
      <c r="C274" s="17" t="s">
        <v>350</v>
      </c>
    </row>
    <row r="275" spans="1:3">
      <c r="A275" s="8" t="s">
        <v>825</v>
      </c>
      <c r="B275" s="89">
        <v>2520</v>
      </c>
      <c r="C275" s="17" t="s">
        <v>105</v>
      </c>
    </row>
    <row r="276" spans="1:3">
      <c r="A276" s="8" t="s">
        <v>826</v>
      </c>
      <c r="B276" s="89">
        <v>1887</v>
      </c>
      <c r="C276" s="17" t="s">
        <v>105</v>
      </c>
    </row>
    <row r="277" spans="1:3">
      <c r="A277" s="830" t="s">
        <v>1163</v>
      </c>
      <c r="B277" s="89">
        <v>2500</v>
      </c>
      <c r="C277" s="17" t="s">
        <v>105</v>
      </c>
    </row>
    <row r="278" spans="1:3">
      <c r="A278" s="928" t="s">
        <v>1162</v>
      </c>
      <c r="B278" s="862">
        <v>2498</v>
      </c>
      <c r="C278" s="17" t="s">
        <v>105</v>
      </c>
    </row>
    <row r="280" spans="1:3">
      <c r="A280" s="7" t="s">
        <v>1232</v>
      </c>
    </row>
  </sheetData>
  <phoneticPr fontId="34" type="noConversion"/>
  <printOptions gridLines="1" gridLinesSet="0"/>
  <pageMargins left="0.78740157480314965" right="0.39370078740157483" top="0.78740157480314965" bottom="0.78740157480314965" header="0.51181102362204722" footer="0.51181102362204722"/>
  <pageSetup orientation="portrait" horizontalDpi="120" verticalDpi="144" r:id="rId1"/>
  <headerFooter alignWithMargins="0">
    <oddHeader>&amp;A</oddHeader>
  </headerFooter>
  <drawing r:id="rId2"/>
  <legacyDrawing r:id="rId3"/>
</worksheet>
</file>

<file path=xl/worksheets/sheet4.xml><?xml version="1.0" encoding="utf-8"?>
<worksheet xmlns="http://schemas.openxmlformats.org/spreadsheetml/2006/main" xmlns:r="http://schemas.openxmlformats.org/officeDocument/2006/relationships">
  <dimension ref="A1:K71"/>
  <sheetViews>
    <sheetView topLeftCell="A39" workbookViewId="0">
      <selection activeCell="D64" sqref="D64"/>
    </sheetView>
  </sheetViews>
  <sheetFormatPr baseColWidth="10" defaultRowHeight="12.75"/>
  <cols>
    <col min="1" max="1" width="29.28515625" customWidth="1"/>
    <col min="2" max="2" width="10.28515625" customWidth="1"/>
    <col min="3" max="3" width="9.28515625" customWidth="1"/>
    <col min="4" max="4" width="10" customWidth="1"/>
    <col min="5" max="5" width="13" customWidth="1"/>
    <col min="6" max="6" width="11.28515625" customWidth="1"/>
    <col min="7" max="7" width="10" customWidth="1"/>
    <col min="10" max="10" width="7" customWidth="1"/>
    <col min="11" max="11" width="10.7109375" customWidth="1"/>
  </cols>
  <sheetData>
    <row r="1" spans="1:8">
      <c r="A1" s="2" t="s">
        <v>1199</v>
      </c>
    </row>
    <row r="2" spans="1:8">
      <c r="A2" s="2" t="s">
        <v>3</v>
      </c>
      <c r="E2" s="727" t="s">
        <v>131</v>
      </c>
      <c r="F2" s="728">
        <f>'PREC marzo 2014'!C11</f>
        <v>7883.82</v>
      </c>
      <c r="G2" s="729" t="s">
        <v>8</v>
      </c>
    </row>
    <row r="3" spans="1:8">
      <c r="A3" s="2" t="s">
        <v>874</v>
      </c>
      <c r="E3" s="730" t="s">
        <v>132</v>
      </c>
      <c r="F3" s="731">
        <f>+'PREC marzo 2014'!B4</f>
        <v>538.54999999999995</v>
      </c>
      <c r="G3" s="732" t="s">
        <v>8</v>
      </c>
    </row>
    <row r="4" spans="1:8">
      <c r="A4" s="2" t="s">
        <v>133</v>
      </c>
    </row>
    <row r="5" spans="1:8" ht="13.5" thickBot="1">
      <c r="A5" s="2" t="s">
        <v>186</v>
      </c>
      <c r="B5" s="54">
        <f>+'PREC marzo 2014'!B3</f>
        <v>42143</v>
      </c>
    </row>
    <row r="6" spans="1:8">
      <c r="A6" s="441" t="s">
        <v>10</v>
      </c>
      <c r="B6" s="441" t="s">
        <v>11</v>
      </c>
      <c r="C6" s="441" t="s">
        <v>12</v>
      </c>
      <c r="D6" s="441" t="s">
        <v>13</v>
      </c>
      <c r="E6" s="441" t="s">
        <v>13</v>
      </c>
      <c r="F6" s="441" t="s">
        <v>13</v>
      </c>
      <c r="G6" s="441" t="s">
        <v>14</v>
      </c>
    </row>
    <row r="7" spans="1:8">
      <c r="A7" s="442"/>
      <c r="B7" s="442"/>
      <c r="C7" s="442"/>
      <c r="D7" s="442" t="s">
        <v>15</v>
      </c>
      <c r="E7" s="442" t="s">
        <v>16</v>
      </c>
      <c r="F7" s="442" t="s">
        <v>16</v>
      </c>
      <c r="G7" s="442" t="s">
        <v>17</v>
      </c>
    </row>
    <row r="8" spans="1:8" ht="13.5" thickBot="1">
      <c r="A8" s="443"/>
      <c r="B8" s="443"/>
      <c r="C8" s="443"/>
      <c r="D8" s="443"/>
      <c r="E8" s="443" t="s">
        <v>18</v>
      </c>
      <c r="F8" s="443" t="s">
        <v>19</v>
      </c>
      <c r="G8" s="443"/>
    </row>
    <row r="9" spans="1:8">
      <c r="A9" s="64" t="s">
        <v>134</v>
      </c>
      <c r="B9" s="65"/>
      <c r="C9" s="65"/>
      <c r="D9" s="65"/>
      <c r="E9" s="65"/>
      <c r="F9" s="65"/>
      <c r="G9" s="65"/>
    </row>
    <row r="10" spans="1:8">
      <c r="A10" s="66" t="s">
        <v>135</v>
      </c>
      <c r="B10" s="66"/>
      <c r="C10" s="66"/>
      <c r="D10" s="66"/>
      <c r="E10" s="66"/>
      <c r="F10" s="66"/>
      <c r="G10" s="66"/>
    </row>
    <row r="11" spans="1:8">
      <c r="A11" s="67" t="s">
        <v>136</v>
      </c>
      <c r="B11" s="66" t="s">
        <v>100</v>
      </c>
      <c r="C11" s="66">
        <v>4.5</v>
      </c>
      <c r="D11" s="68">
        <f>+'PREC marzo 2014'!C7</f>
        <v>18000</v>
      </c>
      <c r="E11" s="68">
        <f>+D11*C11</f>
        <v>81000</v>
      </c>
      <c r="F11" s="69">
        <f>+E11/$F$3</f>
        <v>150.40386222263487</v>
      </c>
      <c r="G11" s="70">
        <f>+E11/$E$59*100</f>
        <v>1.4633635345331575</v>
      </c>
    </row>
    <row r="12" spans="1:8">
      <c r="A12" s="67" t="s">
        <v>137</v>
      </c>
      <c r="B12" s="66" t="s">
        <v>100</v>
      </c>
      <c r="C12" s="66">
        <v>4.5</v>
      </c>
      <c r="D12" s="68">
        <f>+D11</f>
        <v>18000</v>
      </c>
      <c r="E12" s="68">
        <f>+D12*C12</f>
        <v>81000</v>
      </c>
      <c r="F12" s="69">
        <f>+E12/$F$3</f>
        <v>150.40386222263487</v>
      </c>
      <c r="G12" s="70">
        <f>+E12/$E$59*100</f>
        <v>1.4633635345331575</v>
      </c>
    </row>
    <row r="13" spans="1:8">
      <c r="A13" s="1180" t="s">
        <v>1234</v>
      </c>
      <c r="B13" s="66" t="s">
        <v>869</v>
      </c>
      <c r="C13" s="66">
        <v>2</v>
      </c>
      <c r="D13" s="68">
        <f>'PREC marzo 2014'!C14</f>
        <v>15000</v>
      </c>
      <c r="E13" s="68">
        <f>+D13*C13</f>
        <v>30000</v>
      </c>
      <c r="F13" s="69">
        <f>+E13/$F$3</f>
        <v>55.705134156531429</v>
      </c>
      <c r="G13" s="70">
        <f>+E13/$E$59*100</f>
        <v>0.54198649427153978</v>
      </c>
      <c r="H13" t="s">
        <v>9</v>
      </c>
    </row>
    <row r="14" spans="1:8">
      <c r="A14" s="71" t="s">
        <v>9</v>
      </c>
      <c r="B14" s="72" t="s">
        <v>9</v>
      </c>
      <c r="C14" s="72" t="s">
        <v>9</v>
      </c>
      <c r="D14" s="73" t="s">
        <v>9</v>
      </c>
      <c r="E14" s="73" t="s">
        <v>9</v>
      </c>
      <c r="F14" s="74" t="s">
        <v>9</v>
      </c>
      <c r="G14" s="75" t="s">
        <v>9</v>
      </c>
    </row>
    <row r="15" spans="1:8">
      <c r="A15" s="76" t="s">
        <v>140</v>
      </c>
      <c r="B15" s="76"/>
      <c r="C15" s="76"/>
      <c r="D15" s="77"/>
      <c r="E15" s="77">
        <f>SUM(E11:E14)</f>
        <v>192000</v>
      </c>
      <c r="F15" s="78">
        <f>+E15/$F$3</f>
        <v>356.51285860180116</v>
      </c>
      <c r="G15" s="79">
        <f>+E15/$E$59*100</f>
        <v>3.4687135633378543</v>
      </c>
    </row>
    <row r="16" spans="1:8">
      <c r="A16" s="72" t="s">
        <v>141</v>
      </c>
      <c r="B16" s="72"/>
      <c r="C16" s="72"/>
      <c r="D16" s="73"/>
      <c r="E16" s="72" t="s">
        <v>9</v>
      </c>
      <c r="F16" s="72" t="s">
        <v>9</v>
      </c>
      <c r="G16" s="75" t="s">
        <v>9</v>
      </c>
    </row>
    <row r="17" spans="1:11">
      <c r="A17" s="66" t="s">
        <v>142</v>
      </c>
      <c r="B17" s="66" t="s">
        <v>143</v>
      </c>
      <c r="C17" s="66">
        <v>1</v>
      </c>
      <c r="D17" s="68">
        <f>+F2</f>
        <v>7883.82</v>
      </c>
      <c r="E17" s="68">
        <f t="shared" ref="E17:E27" si="0">+D17*C17</f>
        <v>7883.82</v>
      </c>
      <c r="F17" s="69">
        <f t="shared" ref="F17:F27" si="1">+E17/$F$3</f>
        <v>14.63897502553152</v>
      </c>
      <c r="G17" s="70">
        <f t="shared" ref="G17:G27" si="2">+E17/$E$59*100</f>
        <v>0.14243079877559503</v>
      </c>
    </row>
    <row r="18" spans="1:11">
      <c r="A18" s="66" t="s">
        <v>144</v>
      </c>
      <c r="B18" s="66" t="s">
        <v>143</v>
      </c>
      <c r="C18" s="66">
        <v>1</v>
      </c>
      <c r="D18" s="68">
        <f t="shared" ref="D18:D27" si="3">+$F$2</f>
        <v>7883.82</v>
      </c>
      <c r="E18" s="68">
        <f t="shared" si="0"/>
        <v>7883.82</v>
      </c>
      <c r="F18" s="69">
        <f t="shared" si="1"/>
        <v>14.63897502553152</v>
      </c>
      <c r="G18" s="70">
        <f t="shared" si="2"/>
        <v>0.14243079877559503</v>
      </c>
    </row>
    <row r="19" spans="1:11">
      <c r="A19" s="66" t="s">
        <v>145</v>
      </c>
      <c r="B19" s="66" t="s">
        <v>143</v>
      </c>
      <c r="C19" s="66">
        <v>1</v>
      </c>
      <c r="D19" s="68">
        <f t="shared" si="3"/>
        <v>7883.82</v>
      </c>
      <c r="E19" s="68">
        <f t="shared" si="0"/>
        <v>7883.82</v>
      </c>
      <c r="F19" s="69">
        <f t="shared" si="1"/>
        <v>14.63897502553152</v>
      </c>
      <c r="G19" s="70">
        <f t="shared" si="2"/>
        <v>0.14243079877559503</v>
      </c>
    </row>
    <row r="20" spans="1:11">
      <c r="A20" s="66" t="s">
        <v>146</v>
      </c>
      <c r="B20" s="66" t="s">
        <v>143</v>
      </c>
      <c r="C20" s="66">
        <v>6</v>
      </c>
      <c r="D20" s="68">
        <f t="shared" si="3"/>
        <v>7883.82</v>
      </c>
      <c r="E20" s="68">
        <f t="shared" si="0"/>
        <v>47302.92</v>
      </c>
      <c r="F20" s="69">
        <f t="shared" si="1"/>
        <v>87.833850153189118</v>
      </c>
      <c r="G20" s="70">
        <f t="shared" si="2"/>
        <v>0.85458479265357012</v>
      </c>
      <c r="J20" s="436"/>
      <c r="K20" s="921"/>
    </row>
    <row r="21" spans="1:11">
      <c r="A21" s="66" t="s">
        <v>147</v>
      </c>
      <c r="B21" s="66" t="s">
        <v>143</v>
      </c>
      <c r="C21" s="66">
        <v>8</v>
      </c>
      <c r="D21" s="68">
        <f t="shared" si="3"/>
        <v>7883.82</v>
      </c>
      <c r="E21" s="68">
        <f t="shared" si="0"/>
        <v>63070.559999999998</v>
      </c>
      <c r="F21" s="69">
        <f t="shared" si="1"/>
        <v>117.11180020425216</v>
      </c>
      <c r="G21" s="70">
        <f t="shared" si="2"/>
        <v>1.1394463902047602</v>
      </c>
    </row>
    <row r="22" spans="1:11">
      <c r="A22" s="66" t="s">
        <v>148</v>
      </c>
      <c r="B22" s="66" t="s">
        <v>143</v>
      </c>
      <c r="C22" s="66">
        <v>16</v>
      </c>
      <c r="D22" s="68">
        <f t="shared" si="3"/>
        <v>7883.82</v>
      </c>
      <c r="E22" s="68">
        <f t="shared" si="0"/>
        <v>126141.12</v>
      </c>
      <c r="F22" s="69">
        <f t="shared" si="1"/>
        <v>234.22360040850432</v>
      </c>
      <c r="G22" s="70">
        <f t="shared" si="2"/>
        <v>2.2788927804095205</v>
      </c>
    </row>
    <row r="23" spans="1:11">
      <c r="A23" s="66" t="s">
        <v>149</v>
      </c>
      <c r="B23" s="66" t="s">
        <v>143</v>
      </c>
      <c r="C23" s="66">
        <v>10</v>
      </c>
      <c r="D23" s="68">
        <f t="shared" si="3"/>
        <v>7883.82</v>
      </c>
      <c r="E23" s="68">
        <f t="shared" si="0"/>
        <v>78838.2</v>
      </c>
      <c r="F23" s="69">
        <f t="shared" si="1"/>
        <v>146.38975025531519</v>
      </c>
      <c r="G23" s="70">
        <f t="shared" si="2"/>
        <v>1.4243079877559504</v>
      </c>
    </row>
    <row r="24" spans="1:11">
      <c r="A24" s="66" t="s">
        <v>150</v>
      </c>
      <c r="B24" s="66" t="s">
        <v>143</v>
      </c>
      <c r="C24" s="66">
        <v>45</v>
      </c>
      <c r="D24" s="68">
        <f t="shared" si="3"/>
        <v>7883.82</v>
      </c>
      <c r="E24" s="68">
        <f t="shared" si="0"/>
        <v>354771.89999999997</v>
      </c>
      <c r="F24" s="69">
        <f t="shared" si="1"/>
        <v>658.75387614891838</v>
      </c>
      <c r="G24" s="70">
        <f t="shared" si="2"/>
        <v>6.4093859449017758</v>
      </c>
    </row>
    <row r="25" spans="1:11">
      <c r="A25" s="5" t="s">
        <v>138</v>
      </c>
      <c r="B25" s="5" t="s">
        <v>143</v>
      </c>
      <c r="C25" s="5">
        <v>25</v>
      </c>
      <c r="D25" s="1181">
        <f t="shared" si="3"/>
        <v>7883.82</v>
      </c>
      <c r="E25" s="1181">
        <f t="shared" ref="E25" si="4">+D25*C25</f>
        <v>197095.5</v>
      </c>
      <c r="F25" s="1182">
        <f t="shared" ref="F25" si="5">+E25/$F$3</f>
        <v>365.97437563828805</v>
      </c>
      <c r="G25" s="1183">
        <f t="shared" ref="G25" si="6">+E25/$E$59*100</f>
        <v>3.5607699693898756</v>
      </c>
    </row>
    <row r="26" spans="1:11">
      <c r="A26" s="66" t="s">
        <v>151</v>
      </c>
      <c r="B26" s="66" t="s">
        <v>143</v>
      </c>
      <c r="C26" s="66">
        <v>2</v>
      </c>
      <c r="D26" s="68">
        <f t="shared" si="3"/>
        <v>7883.82</v>
      </c>
      <c r="E26" s="68">
        <f t="shared" si="0"/>
        <v>15767.64</v>
      </c>
      <c r="F26" s="69">
        <f t="shared" si="1"/>
        <v>29.277950051063041</v>
      </c>
      <c r="G26" s="70">
        <f t="shared" si="2"/>
        <v>0.28486159755119006</v>
      </c>
    </row>
    <row r="27" spans="1:11">
      <c r="A27" s="72" t="s">
        <v>152</v>
      </c>
      <c r="B27" s="72"/>
      <c r="C27" s="72">
        <f>SUM(C17:C26)</f>
        <v>115</v>
      </c>
      <c r="D27" s="73">
        <f t="shared" si="3"/>
        <v>7883.82</v>
      </c>
      <c r="E27" s="73">
        <f t="shared" si="0"/>
        <v>906639.29999999993</v>
      </c>
      <c r="F27" s="74">
        <f t="shared" si="1"/>
        <v>1683.4821279361247</v>
      </c>
      <c r="G27" s="75">
        <f t="shared" si="2"/>
        <v>16.379541859193427</v>
      </c>
    </row>
    <row r="28" spans="1:11">
      <c r="A28" s="72" t="s">
        <v>713</v>
      </c>
      <c r="B28" s="72" t="s">
        <v>717</v>
      </c>
      <c r="C28" s="72"/>
      <c r="D28" s="72"/>
      <c r="E28" s="73">
        <f>'PREC marzo 2014'!E10</f>
        <v>168000</v>
      </c>
      <c r="F28" s="74">
        <f>+F27*0.24</f>
        <v>404.0357107046699</v>
      </c>
      <c r="G28" s="74">
        <f>+G27*0.24</f>
        <v>3.9310900462064224</v>
      </c>
    </row>
    <row r="29" spans="1:11">
      <c r="A29" s="76" t="s">
        <v>153</v>
      </c>
      <c r="B29" s="76"/>
      <c r="C29" s="76"/>
      <c r="D29" s="76"/>
      <c r="E29" s="77">
        <f>+E28+E27</f>
        <v>1074639.2999999998</v>
      </c>
      <c r="F29" s="78">
        <f>+F28+F27</f>
        <v>2087.5178386407947</v>
      </c>
      <c r="G29" s="78">
        <f>+G28+G27</f>
        <v>20.310631905399848</v>
      </c>
    </row>
    <row r="30" spans="1:11">
      <c r="A30" s="72" t="s">
        <v>154</v>
      </c>
      <c r="B30" s="72"/>
      <c r="C30" s="72"/>
      <c r="D30" s="72" t="s">
        <v>9</v>
      </c>
      <c r="E30" s="72" t="s">
        <v>9</v>
      </c>
      <c r="F30" s="72" t="s">
        <v>9</v>
      </c>
      <c r="G30" s="75" t="s">
        <v>9</v>
      </c>
    </row>
    <row r="31" spans="1:11">
      <c r="A31" s="66" t="s">
        <v>867</v>
      </c>
      <c r="B31" s="66" t="s">
        <v>36</v>
      </c>
      <c r="C31" s="68">
        <v>2070</v>
      </c>
      <c r="D31" s="68">
        <f>'PREC marzo 2014'!E16</f>
        <v>966.18357487922708</v>
      </c>
      <c r="E31" s="68">
        <f>+D31*C31</f>
        <v>2000000</v>
      </c>
      <c r="F31" s="69">
        <f t="shared" ref="F31:F57" si="7">+E31/$F$3</f>
        <v>3713.6756104354286</v>
      </c>
      <c r="G31" s="70">
        <f>+E31/$E$59*100</f>
        <v>36.13243295143598</v>
      </c>
    </row>
    <row r="32" spans="1:11">
      <c r="A32" s="12" t="s">
        <v>1235</v>
      </c>
      <c r="B32" s="66" t="s">
        <v>36</v>
      </c>
      <c r="C32" s="68">
        <v>1590</v>
      </c>
      <c r="D32" s="80">
        <f>'PREC marzo 2014'!E80</f>
        <v>442.66666666666669</v>
      </c>
      <c r="E32" s="68">
        <f>+D32*C32</f>
        <v>703840</v>
      </c>
      <c r="F32" s="69">
        <f t="shared" si="7"/>
        <v>1306.9167208244362</v>
      </c>
      <c r="G32" s="70">
        <f>+E32/$E$59*100</f>
        <v>12.715725804269351</v>
      </c>
    </row>
    <row r="33" spans="1:7">
      <c r="A33" s="12" t="s">
        <v>251</v>
      </c>
      <c r="B33" s="66" t="s">
        <v>36</v>
      </c>
      <c r="C33" s="68">
        <v>1130</v>
      </c>
      <c r="D33" s="80">
        <f>'PREC marzo 2014'!E74</f>
        <v>673</v>
      </c>
      <c r="E33" s="68">
        <f t="shared" ref="E33:E56" si="8">+D33*C33</f>
        <v>760490</v>
      </c>
      <c r="F33" s="69">
        <f t="shared" si="7"/>
        <v>1412.1065824900197</v>
      </c>
      <c r="G33" s="70">
        <f>+E33/$E$59*100</f>
        <v>13.739176967618777</v>
      </c>
    </row>
    <row r="34" spans="1:7">
      <c r="A34" s="5" t="s">
        <v>1237</v>
      </c>
      <c r="B34" s="12" t="s">
        <v>9</v>
      </c>
      <c r="C34" s="68"/>
      <c r="D34" s="80"/>
      <c r="E34" s="1191" t="s">
        <v>9</v>
      </c>
      <c r="F34" s="1192" t="s">
        <v>9</v>
      </c>
      <c r="G34" s="1193" t="s">
        <v>9</v>
      </c>
    </row>
    <row r="35" spans="1:7">
      <c r="A35" s="12" t="s">
        <v>1238</v>
      </c>
      <c r="B35" s="66" t="s">
        <v>36</v>
      </c>
      <c r="C35" s="1190">
        <v>1.5</v>
      </c>
      <c r="D35" s="68">
        <f>'PREC marzo 2014'!E163</f>
        <v>31296</v>
      </c>
      <c r="E35" s="68">
        <f t="shared" ref="E35" si="9">+D35*C35</f>
        <v>46944</v>
      </c>
      <c r="F35" s="69">
        <f t="shared" ref="F35" si="10">+E35/$F$3</f>
        <v>87.167393928140385</v>
      </c>
      <c r="G35" s="70">
        <f>+E35/$E$59*100</f>
        <v>0.84810046623610558</v>
      </c>
    </row>
    <row r="36" spans="1:7">
      <c r="A36" s="345" t="s">
        <v>1236</v>
      </c>
      <c r="B36" s="66"/>
      <c r="C36" s="68"/>
      <c r="D36" s="80"/>
      <c r="E36" s="68"/>
      <c r="F36" s="69"/>
      <c r="G36" s="70"/>
    </row>
    <row r="37" spans="1:7">
      <c r="A37" s="915" t="s">
        <v>1212</v>
      </c>
      <c r="B37" s="66" t="s">
        <v>36</v>
      </c>
      <c r="C37" s="66">
        <v>15</v>
      </c>
      <c r="D37" s="68">
        <f>'PREC marzo 2014'!E142</f>
        <v>6816</v>
      </c>
      <c r="E37" s="68">
        <f t="shared" si="8"/>
        <v>102240</v>
      </c>
      <c r="F37" s="69">
        <f t="shared" si="7"/>
        <v>189.84309720545912</v>
      </c>
      <c r="G37" s="70">
        <f>+E37/$E$59*100</f>
        <v>1.8470899724774077</v>
      </c>
    </row>
    <row r="38" spans="1:7">
      <c r="A38" s="915" t="s">
        <v>1213</v>
      </c>
      <c r="B38" s="66" t="s">
        <v>38</v>
      </c>
      <c r="C38" s="66">
        <v>9</v>
      </c>
      <c r="D38" s="68">
        <f>'PREC marzo 2014'!E154</f>
        <v>8528</v>
      </c>
      <c r="E38" s="68">
        <f t="shared" si="8"/>
        <v>76752</v>
      </c>
      <c r="F38" s="69">
        <f t="shared" si="7"/>
        <v>142.51601522607001</v>
      </c>
      <c r="G38" s="70">
        <f>+E38/$E$59*100</f>
        <v>1.3866182469443074</v>
      </c>
    </row>
    <row r="39" spans="1:7">
      <c r="A39" s="915" t="s">
        <v>1214</v>
      </c>
      <c r="B39" s="66" t="s">
        <v>36</v>
      </c>
      <c r="C39" s="66">
        <v>20</v>
      </c>
      <c r="D39" s="68">
        <f>+'PREC marzo 2014'!E159</f>
        <v>4877.173913043478</v>
      </c>
      <c r="E39" s="68">
        <f t="shared" si="8"/>
        <v>97543.478260869568</v>
      </c>
      <c r="F39" s="69">
        <f t="shared" si="7"/>
        <v>181.1224180872149</v>
      </c>
      <c r="G39" s="70">
        <f>+E39/$E$59*100</f>
        <v>1.7622415940553617</v>
      </c>
    </row>
    <row r="40" spans="1:7">
      <c r="A40" s="345" t="s">
        <v>1240</v>
      </c>
      <c r="B40" s="66"/>
      <c r="C40" s="66"/>
      <c r="D40" s="68"/>
      <c r="E40" s="1191" t="s">
        <v>9</v>
      </c>
      <c r="F40" s="1192" t="s">
        <v>9</v>
      </c>
      <c r="G40" s="1193" t="s">
        <v>9</v>
      </c>
    </row>
    <row r="41" spans="1:7">
      <c r="A41" s="1194" t="s">
        <v>1242</v>
      </c>
      <c r="B41" s="12" t="s">
        <v>36</v>
      </c>
      <c r="C41" s="66">
        <v>1.5</v>
      </c>
      <c r="D41" s="68">
        <f>'PREC marzo 2014'!E150</f>
        <v>12794</v>
      </c>
      <c r="E41" s="68">
        <f t="shared" ref="E41:E43" si="11">+D41*C41</f>
        <v>19191</v>
      </c>
      <c r="F41" s="69">
        <f t="shared" ref="F41:F43" si="12">+E41/$F$3</f>
        <v>35.634574319933158</v>
      </c>
      <c r="G41" s="70">
        <f>+E41/$E$59*100</f>
        <v>0.34670876038550402</v>
      </c>
    </row>
    <row r="42" spans="1:7">
      <c r="A42" s="1194" t="s">
        <v>1243</v>
      </c>
      <c r="B42" s="12" t="s">
        <v>36</v>
      </c>
      <c r="C42" s="66">
        <v>2</v>
      </c>
      <c r="D42" s="68">
        <f>'PREC marzo 2014'!C165</f>
        <v>15642</v>
      </c>
      <c r="E42" s="68">
        <f t="shared" si="11"/>
        <v>31284</v>
      </c>
      <c r="F42" s="69">
        <f t="shared" si="12"/>
        <v>58.08931389843098</v>
      </c>
      <c r="G42" s="70">
        <f>+E42/$E$59*100</f>
        <v>0.56518351622636165</v>
      </c>
    </row>
    <row r="43" spans="1:7">
      <c r="A43" s="1194" t="s">
        <v>1244</v>
      </c>
      <c r="B43" s="12" t="s">
        <v>36</v>
      </c>
      <c r="C43" s="66">
        <v>2</v>
      </c>
      <c r="D43" s="68">
        <f>'PREC marzo 2014'!E140</f>
        <v>16862</v>
      </c>
      <c r="E43" s="68">
        <f t="shared" si="11"/>
        <v>33724</v>
      </c>
      <c r="F43" s="69">
        <f t="shared" si="12"/>
        <v>62.619998143162199</v>
      </c>
      <c r="G43" s="70">
        <f>+E43/$E$59*100</f>
        <v>0.60926508442711358</v>
      </c>
    </row>
    <row r="44" spans="1:7">
      <c r="A44" s="123" t="s">
        <v>1241</v>
      </c>
      <c r="B44" s="66"/>
      <c r="C44" s="66"/>
      <c r="D44" s="68"/>
      <c r="E44" s="68"/>
      <c r="F44" s="69"/>
      <c r="G44" s="70"/>
    </row>
    <row r="45" spans="1:7">
      <c r="A45" s="12" t="s">
        <v>1215</v>
      </c>
      <c r="B45" s="66" t="s">
        <v>38</v>
      </c>
      <c r="C45" s="66">
        <v>4</v>
      </c>
      <c r="D45" s="68">
        <f>+'PREC marzo 2014'!E148</f>
        <v>8287</v>
      </c>
      <c r="E45" s="68">
        <f t="shared" si="8"/>
        <v>33148</v>
      </c>
      <c r="F45" s="69">
        <f t="shared" si="7"/>
        <v>61.550459567356796</v>
      </c>
      <c r="G45" s="70">
        <f t="shared" ref="G45:G57" si="13">+E45/$E$59*100</f>
        <v>0.59885894373710002</v>
      </c>
    </row>
    <row r="46" spans="1:7">
      <c r="A46" s="12" t="s">
        <v>329</v>
      </c>
      <c r="B46" s="66" t="s">
        <v>38</v>
      </c>
      <c r="C46" s="66">
        <v>1</v>
      </c>
      <c r="D46" s="68">
        <f>'PREC marzo 2014'!E117</f>
        <v>14823</v>
      </c>
      <c r="E46" s="68">
        <f t="shared" si="8"/>
        <v>14823</v>
      </c>
      <c r="F46" s="69">
        <f t="shared" si="7"/>
        <v>27.523906786742181</v>
      </c>
      <c r="G46" s="70">
        <f t="shared" si="13"/>
        <v>0.26779552681956781</v>
      </c>
    </row>
    <row r="47" spans="1:7">
      <c r="A47" s="12" t="s">
        <v>274</v>
      </c>
      <c r="B47" s="1141" t="s">
        <v>36</v>
      </c>
      <c r="C47" s="66">
        <v>2</v>
      </c>
      <c r="D47" s="68">
        <f>'PREC marzo 2014'!E125</f>
        <v>945</v>
      </c>
      <c r="E47" s="68">
        <f>+D47*C47</f>
        <v>1890</v>
      </c>
      <c r="F47" s="69">
        <f>+E47/$F$3</f>
        <v>3.5094234518614802</v>
      </c>
      <c r="G47" s="70">
        <f t="shared" si="13"/>
        <v>3.414514913910701E-2</v>
      </c>
    </row>
    <row r="48" spans="1:7">
      <c r="A48" s="66" t="s">
        <v>113</v>
      </c>
      <c r="B48" s="66" t="s">
        <v>38</v>
      </c>
      <c r="C48" s="66">
        <v>1</v>
      </c>
      <c r="D48" s="68">
        <f>+'PREC marzo 2014'!E117</f>
        <v>14823</v>
      </c>
      <c r="E48" s="68">
        <f>+D48*C48</f>
        <v>14823</v>
      </c>
      <c r="F48" s="83">
        <f>+E48/$F$3</f>
        <v>27.523906786742181</v>
      </c>
      <c r="G48" s="70">
        <f t="shared" si="13"/>
        <v>0.26779552681956781</v>
      </c>
    </row>
    <row r="49" spans="1:8">
      <c r="A49" s="12" t="s">
        <v>1250</v>
      </c>
      <c r="B49" s="66" t="s">
        <v>83</v>
      </c>
      <c r="C49" s="66">
        <v>2</v>
      </c>
      <c r="D49" s="68">
        <f>+'PREC marzo 2014'!C195</f>
        <v>2677</v>
      </c>
      <c r="E49" s="68">
        <f t="shared" si="8"/>
        <v>5354</v>
      </c>
      <c r="F49" s="69">
        <f t="shared" si="7"/>
        <v>9.9415096091356432</v>
      </c>
      <c r="G49" s="70">
        <f t="shared" si="13"/>
        <v>9.6726523010994131E-2</v>
      </c>
    </row>
    <row r="50" spans="1:8">
      <c r="A50" s="67" t="s">
        <v>127</v>
      </c>
      <c r="B50" s="66" t="s">
        <v>36</v>
      </c>
      <c r="C50" s="66">
        <v>8</v>
      </c>
      <c r="D50" s="68">
        <f>+'PREC marzo 2014'!E200</f>
        <v>20384</v>
      </c>
      <c r="E50" s="68">
        <f t="shared" si="8"/>
        <v>163072</v>
      </c>
      <c r="F50" s="69">
        <f t="shared" si="7"/>
        <v>302.79825457246312</v>
      </c>
      <c r="G50" s="70">
        <f t="shared" si="13"/>
        <v>2.9460940531282844</v>
      </c>
    </row>
    <row r="51" spans="1:8">
      <c r="A51" s="67" t="s">
        <v>124</v>
      </c>
      <c r="B51" s="66" t="s">
        <v>36</v>
      </c>
      <c r="C51" s="66">
        <v>0.4</v>
      </c>
      <c r="D51" s="68">
        <f>+'PREC marzo 2014'!E188</f>
        <v>35620</v>
      </c>
      <c r="E51" s="68">
        <f t="shared" si="8"/>
        <v>14248</v>
      </c>
      <c r="F51" s="69">
        <f t="shared" si="7"/>
        <v>26.456225048741995</v>
      </c>
      <c r="G51" s="70">
        <f t="shared" si="13"/>
        <v>0.25740745234602996</v>
      </c>
    </row>
    <row r="52" spans="1:8">
      <c r="A52" s="67" t="s">
        <v>122</v>
      </c>
      <c r="B52" s="66" t="s">
        <v>38</v>
      </c>
      <c r="C52" s="66">
        <v>0.7</v>
      </c>
      <c r="D52" s="68">
        <f>'PREC marzo 2014'!E186</f>
        <v>32000</v>
      </c>
      <c r="E52" s="68">
        <f t="shared" si="8"/>
        <v>22400</v>
      </c>
      <c r="F52" s="69">
        <f t="shared" si="7"/>
        <v>41.593166836876804</v>
      </c>
      <c r="G52" s="70">
        <f t="shared" si="13"/>
        <v>0.40468324905608299</v>
      </c>
    </row>
    <row r="53" spans="1:8">
      <c r="A53" s="13" t="s">
        <v>256</v>
      </c>
      <c r="B53" s="12" t="s">
        <v>1249</v>
      </c>
      <c r="C53" s="66">
        <v>4</v>
      </c>
      <c r="D53" s="68">
        <f>'PREC marzo 2014'!C211</f>
        <v>9888</v>
      </c>
      <c r="E53" s="68">
        <f t="shared" ref="E53" si="14">+D53*C53</f>
        <v>39552</v>
      </c>
      <c r="F53" s="69">
        <f t="shared" ref="F53" si="15">+E53/$F$3</f>
        <v>73.44164887197104</v>
      </c>
      <c r="G53" s="70">
        <f t="shared" si="13"/>
        <v>0.71455499404759804</v>
      </c>
    </row>
    <row r="54" spans="1:8">
      <c r="A54" s="13" t="s">
        <v>1251</v>
      </c>
      <c r="B54" s="12" t="s">
        <v>1252</v>
      </c>
      <c r="C54" s="66">
        <v>1</v>
      </c>
      <c r="D54" s="68">
        <f>'PREC marzo 2014'!C183</f>
        <v>6114</v>
      </c>
      <c r="E54" s="68">
        <f t="shared" ref="E54" si="16">+D54*C54</f>
        <v>6114</v>
      </c>
      <c r="F54" s="69">
        <f t="shared" ref="F54" si="17">+E54/$F$3</f>
        <v>11.352706341101106</v>
      </c>
      <c r="G54" s="70">
        <f t="shared" si="13"/>
        <v>0.11045684753253981</v>
      </c>
    </row>
    <row r="55" spans="1:8">
      <c r="A55" s="12" t="s">
        <v>1245</v>
      </c>
      <c r="B55" s="66" t="s">
        <v>38</v>
      </c>
      <c r="C55" s="66">
        <v>1</v>
      </c>
      <c r="D55" s="68">
        <f>'PREC marzo 2014'!E235</f>
        <v>6107</v>
      </c>
      <c r="E55" s="68">
        <f t="shared" si="8"/>
        <v>6107</v>
      </c>
      <c r="F55" s="69">
        <f t="shared" si="7"/>
        <v>11.339708476464581</v>
      </c>
      <c r="G55" s="70">
        <f t="shared" si="13"/>
        <v>0.11033038401720978</v>
      </c>
    </row>
    <row r="56" spans="1:8">
      <c r="A56" s="12" t="s">
        <v>1246</v>
      </c>
      <c r="B56" s="66" t="s">
        <v>38</v>
      </c>
      <c r="C56" s="66">
        <v>1.5</v>
      </c>
      <c r="D56" s="68">
        <f>'PREC marzo 2014'!E220</f>
        <v>3343</v>
      </c>
      <c r="E56" s="68">
        <f t="shared" si="8"/>
        <v>5014.5</v>
      </c>
      <c r="F56" s="69">
        <f t="shared" si="7"/>
        <v>9.3111131742642286</v>
      </c>
      <c r="G56" s="70">
        <f t="shared" si="13"/>
        <v>9.0593042517487885E-2</v>
      </c>
    </row>
    <row r="57" spans="1:8" ht="13.5" thickBot="1">
      <c r="A57" s="84" t="s">
        <v>156</v>
      </c>
      <c r="B57" s="84"/>
      <c r="C57" s="84"/>
      <c r="D57" s="84"/>
      <c r="E57" s="85">
        <f>SUM(E31:E56)</f>
        <v>4198553.9782608692</v>
      </c>
      <c r="F57" s="85">
        <f t="shared" si="7"/>
        <v>7796.0337540820155</v>
      </c>
      <c r="G57" s="86">
        <f t="shared" si="13"/>
        <v>75.851985056247841</v>
      </c>
    </row>
    <row r="58" spans="1:8" ht="14.25" thickTop="1" thickBot="1">
      <c r="A58" s="859" t="s">
        <v>1200</v>
      </c>
      <c r="B58" s="72"/>
      <c r="C58" s="72"/>
      <c r="D58" s="72"/>
      <c r="E58" s="73">
        <v>70000</v>
      </c>
      <c r="F58" s="73"/>
      <c r="G58" s="860"/>
    </row>
    <row r="59" spans="1:8" ht="14.25" thickTop="1" thickBot="1">
      <c r="A59" s="444" t="s">
        <v>70</v>
      </c>
      <c r="B59" s="612"/>
      <c r="C59" s="612"/>
      <c r="D59" s="612"/>
      <c r="E59" s="613">
        <f>+E57+E29+E15+E58</f>
        <v>5535193.278260869</v>
      </c>
      <c r="F59" s="613">
        <f>+F57+F29+F15</f>
        <v>10240.064451324612</v>
      </c>
      <c r="G59" s="614">
        <f>+E59/E59*100</f>
        <v>100</v>
      </c>
    </row>
    <row r="60" spans="1:8" ht="13.5" thickTop="1">
      <c r="A60" s="617" t="s">
        <v>9</v>
      </c>
      <c r="B60" s="615" t="s">
        <v>157</v>
      </c>
      <c r="C60" s="616">
        <v>33000</v>
      </c>
      <c r="D60" s="615" t="s">
        <v>158</v>
      </c>
      <c r="E60" s="615" t="s">
        <v>649</v>
      </c>
      <c r="F60" s="725">
        <f>+E59/C60</f>
        <v>167.73312964426876</v>
      </c>
      <c r="G60" s="615" t="s">
        <v>159</v>
      </c>
    </row>
    <row r="61" spans="1:8">
      <c r="A61" s="618" t="s">
        <v>263</v>
      </c>
      <c r="B61" s="615" t="s">
        <v>160</v>
      </c>
      <c r="C61" s="616">
        <v>25000</v>
      </c>
      <c r="D61" s="615" t="s">
        <v>158</v>
      </c>
      <c r="E61" s="615" t="s">
        <v>649</v>
      </c>
      <c r="F61" s="725">
        <f>+E59/C61</f>
        <v>221.40773113043477</v>
      </c>
      <c r="G61" s="615" t="s">
        <v>159</v>
      </c>
    </row>
    <row r="62" spans="1:8" ht="13.5" thickBot="1">
      <c r="A62" s="619"/>
      <c r="B62" s="615" t="s">
        <v>161</v>
      </c>
      <c r="C62" s="616">
        <v>18000</v>
      </c>
      <c r="D62" s="615" t="s">
        <v>158</v>
      </c>
      <c r="E62" s="615" t="s">
        <v>649</v>
      </c>
      <c r="F62" s="725">
        <f>+E59/C62</f>
        <v>307.51073768115941</v>
      </c>
      <c r="G62" s="615" t="s">
        <v>159</v>
      </c>
    </row>
    <row r="63" spans="1:8" ht="14.25" thickTop="1" thickBot="1">
      <c r="B63" s="865" t="s">
        <v>704</v>
      </c>
      <c r="C63" s="989">
        <f>AVERAGE(C60:C62)</f>
        <v>25333.333333333332</v>
      </c>
      <c r="D63" s="990" t="s">
        <v>358</v>
      </c>
      <c r="E63" s="988"/>
      <c r="F63" s="726">
        <f>AVERAGE(F60:F62)</f>
        <v>232.21719948528767</v>
      </c>
      <c r="G63" s="53" t="s">
        <v>9</v>
      </c>
    </row>
    <row r="64" spans="1:8" ht="13.5" thickTop="1">
      <c r="C64" s="1026"/>
      <c r="D64" s="1264" t="s">
        <v>1311</v>
      </c>
      <c r="E64" s="1028"/>
      <c r="F64" s="1027">
        <f>resumen!F4</f>
        <v>543</v>
      </c>
      <c r="G64" s="1027" t="s">
        <v>74</v>
      </c>
      <c r="H64" s="1037" t="s">
        <v>352</v>
      </c>
    </row>
    <row r="65" spans="1:7">
      <c r="A65" t="s">
        <v>631</v>
      </c>
      <c r="G65" t="s">
        <v>9</v>
      </c>
    </row>
    <row r="66" spans="1:7">
      <c r="A66" s="87" t="str">
        <f>cebolla!A84</f>
        <v>FUENTE :   Elaborado por Rolando Tencio según información ASAS de la Región C. Oriental.</v>
      </c>
    </row>
    <row r="68" spans="1:7">
      <c r="A68" s="494" t="s">
        <v>632</v>
      </c>
      <c r="B68" s="494"/>
      <c r="C68" s="671">
        <f>19/0.7</f>
        <v>27.142857142857146</v>
      </c>
      <c r="D68" s="672" t="s">
        <v>629</v>
      </c>
      <c r="E68" s="673">
        <f>18/0.7</f>
        <v>25.714285714285715</v>
      </c>
      <c r="F68" s="674" t="s">
        <v>629</v>
      </c>
    </row>
    <row r="69" spans="1:7">
      <c r="A69" s="53"/>
      <c r="B69" s="53"/>
      <c r="C69" s="671">
        <f>C68/0.828</f>
        <v>32.781228433402354</v>
      </c>
      <c r="D69" s="672" t="s">
        <v>630</v>
      </c>
      <c r="E69" s="673">
        <f>E68/0.828</f>
        <v>31.055900621118017</v>
      </c>
      <c r="F69" s="674" t="s">
        <v>630</v>
      </c>
    </row>
    <row r="70" spans="1:7">
      <c r="A70" t="s">
        <v>633</v>
      </c>
    </row>
    <row r="71" spans="1:7">
      <c r="F71" s="436">
        <f>D20/8</f>
        <v>985.47749999999996</v>
      </c>
    </row>
  </sheetData>
  <phoneticPr fontId="34" type="noConversion"/>
  <pageMargins left="0.75" right="0.75" top="0.63" bottom="0.47" header="0" footer="0"/>
  <pageSetup scale="95" orientation="portrait" horizontalDpi="120" verticalDpi="144"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J85"/>
  <sheetViews>
    <sheetView topLeftCell="A63" workbookViewId="0">
      <selection activeCell="C78" sqref="C78"/>
    </sheetView>
  </sheetViews>
  <sheetFormatPr baseColWidth="10" defaultRowHeight="12.75"/>
  <cols>
    <col min="1" max="1" width="28.28515625" customWidth="1"/>
    <col min="2" max="2" width="10.85546875" customWidth="1"/>
    <col min="3" max="3" width="11.42578125" customWidth="1"/>
    <col min="4" max="4" width="11.28515625" customWidth="1"/>
    <col min="5" max="5" width="12" customWidth="1"/>
    <col min="6" max="6" width="11.7109375" customWidth="1"/>
    <col min="7" max="7" width="9.42578125" customWidth="1"/>
    <col min="8" max="8" width="17.7109375" customWidth="1"/>
    <col min="10" max="10" width="12.85546875" bestFit="1" customWidth="1"/>
  </cols>
  <sheetData>
    <row r="1" spans="1:7">
      <c r="A1" s="2" t="s">
        <v>0</v>
      </c>
      <c r="D1" s="38"/>
      <c r="E1" s="39" t="s">
        <v>1</v>
      </c>
      <c r="F1" s="126">
        <f>+'PREC marzo 2014'!B4</f>
        <v>538.54999999999995</v>
      </c>
      <c r="G1" s="40" t="s">
        <v>2</v>
      </c>
    </row>
    <row r="2" spans="1:7">
      <c r="A2" s="2" t="s">
        <v>3</v>
      </c>
      <c r="D2" s="44" t="s">
        <v>4</v>
      </c>
      <c r="E2" s="42" t="s">
        <v>5</v>
      </c>
      <c r="F2" s="43">
        <f>+F3/8</f>
        <v>985.47749999999996</v>
      </c>
      <c r="G2" s="45" t="s">
        <v>2</v>
      </c>
    </row>
    <row r="3" spans="1:7" ht="13.5" thickBot="1">
      <c r="A3" s="2" t="s">
        <v>6</v>
      </c>
      <c r="D3" s="46"/>
      <c r="E3" s="47" t="s">
        <v>7</v>
      </c>
      <c r="F3" s="497">
        <f>'PREC marzo 2014'!C11</f>
        <v>7883.82</v>
      </c>
      <c r="G3" s="41" t="s">
        <v>8</v>
      </c>
    </row>
    <row r="4" spans="1:7" ht="13.5" thickBot="1">
      <c r="A4" s="7" t="s">
        <v>187</v>
      </c>
      <c r="B4" s="54">
        <f>+'PREC marzo 2014'!B3</f>
        <v>42143</v>
      </c>
    </row>
    <row r="5" spans="1:7">
      <c r="A5" s="441" t="s">
        <v>10</v>
      </c>
      <c r="B5" s="441" t="s">
        <v>11</v>
      </c>
      <c r="C5" s="441" t="s">
        <v>12</v>
      </c>
      <c r="D5" s="441" t="s">
        <v>13</v>
      </c>
      <c r="E5" s="441" t="s">
        <v>13</v>
      </c>
      <c r="F5" s="441" t="s">
        <v>13</v>
      </c>
      <c r="G5" s="441" t="s">
        <v>14</v>
      </c>
    </row>
    <row r="6" spans="1:7">
      <c r="A6" s="445"/>
      <c r="B6" s="442"/>
      <c r="C6" s="442"/>
      <c r="D6" s="442" t="s">
        <v>15</v>
      </c>
      <c r="E6" s="442" t="s">
        <v>16</v>
      </c>
      <c r="F6" s="442" t="s">
        <v>16</v>
      </c>
      <c r="G6" s="442" t="s">
        <v>17</v>
      </c>
    </row>
    <row r="7" spans="1:7" ht="13.5" thickBot="1">
      <c r="A7" s="446"/>
      <c r="B7" s="443"/>
      <c r="C7" s="443"/>
      <c r="D7" s="443"/>
      <c r="E7" s="443" t="s">
        <v>18</v>
      </c>
      <c r="F7" s="443" t="s">
        <v>19</v>
      </c>
      <c r="G7" s="443"/>
    </row>
    <row r="8" spans="1:7">
      <c r="A8" s="11" t="s">
        <v>20</v>
      </c>
      <c r="B8" s="1"/>
      <c r="C8" s="1"/>
      <c r="D8" s="1"/>
      <c r="E8" s="1"/>
      <c r="F8" s="1"/>
      <c r="G8" s="1"/>
    </row>
    <row r="9" spans="1:7">
      <c r="A9" s="5" t="s">
        <v>21</v>
      </c>
      <c r="B9" s="3"/>
      <c r="C9" s="3"/>
      <c r="D9" s="3"/>
      <c r="E9" s="3"/>
      <c r="F9" s="3"/>
      <c r="G9" s="3"/>
    </row>
    <row r="10" spans="1:7">
      <c r="A10" s="3" t="s">
        <v>22</v>
      </c>
      <c r="B10" s="4" t="s">
        <v>23</v>
      </c>
      <c r="C10" s="4">
        <v>22</v>
      </c>
      <c r="D10" s="36">
        <f>+$F$2</f>
        <v>985.47749999999996</v>
      </c>
      <c r="E10" s="36">
        <f t="shared" ref="E10:E18" si="0">+D10*C10</f>
        <v>21680.504999999997</v>
      </c>
      <c r="F10" s="18">
        <f t="shared" ref="F10:F18" si="1">+E10/$F$1</f>
        <v>40.257181320211679</v>
      </c>
      <c r="G10" s="19">
        <f t="shared" ref="G10:G19" si="2">+E10/$E$70*100</f>
        <v>0.50736142240384541</v>
      </c>
    </row>
    <row r="11" spans="1:7">
      <c r="A11" s="6" t="s">
        <v>24</v>
      </c>
      <c r="B11" s="4" t="s">
        <v>23</v>
      </c>
      <c r="C11" s="4">
        <v>18</v>
      </c>
      <c r="D11" s="36">
        <f t="shared" ref="D11:D18" si="3">+$F$2</f>
        <v>985.47749999999996</v>
      </c>
      <c r="E11" s="36">
        <f t="shared" si="0"/>
        <v>17738.595000000001</v>
      </c>
      <c r="F11" s="18">
        <f t="shared" si="1"/>
        <v>32.937693807445925</v>
      </c>
      <c r="G11" s="19">
        <f t="shared" si="2"/>
        <v>0.41511389105769181</v>
      </c>
    </row>
    <row r="12" spans="1:7">
      <c r="A12" s="6" t="s">
        <v>25</v>
      </c>
      <c r="B12" s="4" t="s">
        <v>23</v>
      </c>
      <c r="C12" s="4">
        <v>4</v>
      </c>
      <c r="D12" s="36">
        <f t="shared" si="3"/>
        <v>985.47749999999996</v>
      </c>
      <c r="E12" s="36">
        <f t="shared" si="0"/>
        <v>3941.91</v>
      </c>
      <c r="F12" s="18">
        <f t="shared" si="1"/>
        <v>7.3194875127657602</v>
      </c>
      <c r="G12" s="19">
        <f t="shared" si="2"/>
        <v>9.2247531346153724E-2</v>
      </c>
    </row>
    <row r="13" spans="1:7">
      <c r="A13" s="6" t="s">
        <v>26</v>
      </c>
      <c r="B13" s="4" t="s">
        <v>23</v>
      </c>
      <c r="C13" s="4">
        <v>16</v>
      </c>
      <c r="D13" s="36">
        <f t="shared" si="3"/>
        <v>985.47749999999996</v>
      </c>
      <c r="E13" s="36">
        <f t="shared" si="0"/>
        <v>15767.64</v>
      </c>
      <c r="F13" s="18">
        <f t="shared" si="1"/>
        <v>29.277950051063041</v>
      </c>
      <c r="G13" s="19">
        <f t="shared" si="2"/>
        <v>0.3689901253846149</v>
      </c>
    </row>
    <row r="14" spans="1:7">
      <c r="A14" s="3" t="s">
        <v>27</v>
      </c>
      <c r="B14" s="4" t="s">
        <v>23</v>
      </c>
      <c r="C14" s="4">
        <v>120</v>
      </c>
      <c r="D14" s="36">
        <f t="shared" si="3"/>
        <v>985.47749999999996</v>
      </c>
      <c r="E14" s="36">
        <f t="shared" si="0"/>
        <v>118257.29999999999</v>
      </c>
      <c r="F14" s="18">
        <f t="shared" si="1"/>
        <v>219.5846253829728</v>
      </c>
      <c r="G14" s="19">
        <f t="shared" si="2"/>
        <v>2.7674259403846113</v>
      </c>
    </row>
    <row r="15" spans="1:7">
      <c r="A15" s="6" t="s">
        <v>28</v>
      </c>
      <c r="B15" s="4" t="s">
        <v>23</v>
      </c>
      <c r="C15" s="4">
        <v>24</v>
      </c>
      <c r="D15" s="36">
        <f t="shared" si="3"/>
        <v>985.47749999999996</v>
      </c>
      <c r="E15" s="36">
        <f t="shared" si="0"/>
        <v>23651.46</v>
      </c>
      <c r="F15" s="18">
        <f t="shared" si="1"/>
        <v>43.916925076594559</v>
      </c>
      <c r="G15" s="19">
        <f t="shared" si="2"/>
        <v>0.55348518807692226</v>
      </c>
    </row>
    <row r="16" spans="1:7">
      <c r="A16" s="6" t="s">
        <v>29</v>
      </c>
      <c r="B16" s="4" t="s">
        <v>23</v>
      </c>
      <c r="C16" s="4">
        <v>32</v>
      </c>
      <c r="D16" s="36">
        <f t="shared" si="3"/>
        <v>985.47749999999996</v>
      </c>
      <c r="E16" s="36">
        <f t="shared" si="0"/>
        <v>31535.279999999999</v>
      </c>
      <c r="F16" s="18">
        <f t="shared" si="1"/>
        <v>58.555900102126081</v>
      </c>
      <c r="G16" s="19">
        <f t="shared" si="2"/>
        <v>0.7379802507692298</v>
      </c>
    </row>
    <row r="17" spans="1:7">
      <c r="A17" s="6" t="s">
        <v>30</v>
      </c>
      <c r="B17" s="4" t="s">
        <v>23</v>
      </c>
      <c r="C17" s="4">
        <v>14</v>
      </c>
      <c r="D17" s="36">
        <f t="shared" si="3"/>
        <v>985.47749999999996</v>
      </c>
      <c r="E17" s="36">
        <f t="shared" si="0"/>
        <v>13796.684999999999</v>
      </c>
      <c r="F17" s="18">
        <f t="shared" si="1"/>
        <v>25.61820629468016</v>
      </c>
      <c r="G17" s="19">
        <f t="shared" si="2"/>
        <v>0.32286635971153804</v>
      </c>
    </row>
    <row r="18" spans="1:7">
      <c r="A18" s="6" t="s">
        <v>31</v>
      </c>
      <c r="B18" s="4" t="s">
        <v>23</v>
      </c>
      <c r="C18" s="4">
        <v>24</v>
      </c>
      <c r="D18" s="36">
        <f t="shared" si="3"/>
        <v>985.47749999999996</v>
      </c>
      <c r="E18" s="36">
        <f t="shared" si="0"/>
        <v>23651.46</v>
      </c>
      <c r="F18" s="18">
        <f t="shared" si="1"/>
        <v>43.916925076594559</v>
      </c>
      <c r="G18" s="19">
        <f t="shared" si="2"/>
        <v>0.55348518807692226</v>
      </c>
    </row>
    <row r="19" spans="1:7">
      <c r="A19" s="9" t="s">
        <v>33</v>
      </c>
      <c r="B19" s="20"/>
      <c r="C19" s="20"/>
      <c r="D19" s="48"/>
      <c r="E19" s="35">
        <f>SUM(E10:E18)</f>
        <v>270020.83499999996</v>
      </c>
      <c r="F19" s="22">
        <f>+E19/$F$1</f>
        <v>501.38489462445455</v>
      </c>
      <c r="G19" s="23">
        <f t="shared" si="2"/>
        <v>6.3189558972115281</v>
      </c>
    </row>
    <row r="20" spans="1:7">
      <c r="A20" s="5" t="s">
        <v>34</v>
      </c>
      <c r="B20" s="4"/>
      <c r="C20" s="4"/>
      <c r="D20" s="36"/>
      <c r="E20" s="36" t="s">
        <v>9</v>
      </c>
      <c r="F20" s="4" t="s">
        <v>9</v>
      </c>
      <c r="G20" s="19" t="s">
        <v>9</v>
      </c>
    </row>
    <row r="21" spans="1:7">
      <c r="A21" s="3" t="s">
        <v>35</v>
      </c>
      <c r="B21" s="4" t="s">
        <v>36</v>
      </c>
      <c r="C21" s="4">
        <v>0.2</v>
      </c>
      <c r="D21" s="36">
        <v>6400</v>
      </c>
      <c r="E21" s="36">
        <f t="shared" ref="E21:E27" si="4">+D21*C21</f>
        <v>1280</v>
      </c>
      <c r="F21" s="18">
        <f t="shared" ref="F21:F27" si="5">+E21/$F$1</f>
        <v>2.3767523906786745</v>
      </c>
      <c r="G21" s="19">
        <f t="shared" ref="G21:G27" si="6">+E21/$E$70*100</f>
        <v>2.9954220193529724E-2</v>
      </c>
    </row>
    <row r="22" spans="1:7">
      <c r="A22" s="12" t="s">
        <v>1082</v>
      </c>
      <c r="B22" s="4" t="s">
        <v>36</v>
      </c>
      <c r="C22" s="4">
        <v>3</v>
      </c>
      <c r="D22" s="36">
        <v>110000</v>
      </c>
      <c r="E22" s="36">
        <f t="shared" si="4"/>
        <v>330000</v>
      </c>
      <c r="F22" s="18">
        <f t="shared" si="5"/>
        <v>612.75647572184573</v>
      </c>
      <c r="G22" s="19">
        <f t="shared" si="6"/>
        <v>7.7225723936443824</v>
      </c>
    </row>
    <row r="23" spans="1:7">
      <c r="A23" s="66" t="s">
        <v>866</v>
      </c>
      <c r="B23" s="4" t="s">
        <v>36</v>
      </c>
      <c r="C23" s="4">
        <v>72</v>
      </c>
      <c r="D23" s="36">
        <f>'PREC marzo 2014'!E72*2</f>
        <v>711.11111111111109</v>
      </c>
      <c r="E23" s="36">
        <f t="shared" si="4"/>
        <v>51200</v>
      </c>
      <c r="F23" s="18">
        <f t="shared" si="5"/>
        <v>95.070095627146983</v>
      </c>
      <c r="G23" s="19">
        <f t="shared" si="6"/>
        <v>1.1981688077411889</v>
      </c>
    </row>
    <row r="24" spans="1:7">
      <c r="A24" s="3" t="s">
        <v>37</v>
      </c>
      <c r="B24" s="4" t="s">
        <v>38</v>
      </c>
      <c r="C24" s="4">
        <v>0.7</v>
      </c>
      <c r="D24" s="36">
        <v>7800</v>
      </c>
      <c r="E24" s="36">
        <f t="shared" si="4"/>
        <v>5460</v>
      </c>
      <c r="F24" s="18">
        <f t="shared" si="5"/>
        <v>10.138334416488721</v>
      </c>
      <c r="G24" s="19">
        <f t="shared" si="6"/>
        <v>0.12777347051302523</v>
      </c>
    </row>
    <row r="25" spans="1:7">
      <c r="A25" s="3" t="s">
        <v>39</v>
      </c>
      <c r="B25" s="4" t="s">
        <v>36</v>
      </c>
      <c r="C25" s="4">
        <v>3.2</v>
      </c>
      <c r="D25" s="36">
        <v>7700</v>
      </c>
      <c r="E25" s="36">
        <f t="shared" si="4"/>
        <v>24640</v>
      </c>
      <c r="F25" s="18">
        <f t="shared" si="5"/>
        <v>45.752483520564482</v>
      </c>
      <c r="G25" s="19">
        <f t="shared" si="6"/>
        <v>0.57661873872544722</v>
      </c>
    </row>
    <row r="26" spans="1:7">
      <c r="A26" s="3" t="s">
        <v>40</v>
      </c>
      <c r="B26" s="4" t="s">
        <v>38</v>
      </c>
      <c r="C26" s="4">
        <v>3</v>
      </c>
      <c r="D26" s="36">
        <v>4800</v>
      </c>
      <c r="E26" s="36">
        <f t="shared" si="4"/>
        <v>14400</v>
      </c>
      <c r="F26" s="18">
        <f t="shared" si="5"/>
        <v>26.738464395135086</v>
      </c>
      <c r="G26" s="19">
        <f t="shared" si="6"/>
        <v>0.33698497717720938</v>
      </c>
    </row>
    <row r="27" spans="1:7">
      <c r="A27" s="3" t="s">
        <v>41</v>
      </c>
      <c r="B27" s="4" t="s">
        <v>38</v>
      </c>
      <c r="C27" s="4">
        <v>1</v>
      </c>
      <c r="D27" s="36">
        <f>+'PREC marzo 2014'!E233</f>
        <v>14112</v>
      </c>
      <c r="E27" s="36">
        <f t="shared" si="4"/>
        <v>14112</v>
      </c>
      <c r="F27" s="18">
        <f t="shared" si="5"/>
        <v>26.203695107232384</v>
      </c>
      <c r="G27" s="19">
        <f t="shared" si="6"/>
        <v>0.33024527763366518</v>
      </c>
    </row>
    <row r="28" spans="1:7">
      <c r="A28" s="9" t="s">
        <v>42</v>
      </c>
      <c r="B28" s="20"/>
      <c r="C28" s="20"/>
      <c r="D28" s="48"/>
      <c r="E28" s="35">
        <f>SUM(E21:E27)</f>
        <v>441092</v>
      </c>
      <c r="F28" s="22">
        <f>+E28/$F$1</f>
        <v>819.03630117909211</v>
      </c>
      <c r="G28" s="23">
        <f>+E28/$E$70*100</f>
        <v>10.322317885628449</v>
      </c>
    </row>
    <row r="29" spans="1:7">
      <c r="A29" s="1" t="s">
        <v>43</v>
      </c>
      <c r="B29" s="4"/>
      <c r="C29" s="4"/>
      <c r="D29" s="36"/>
      <c r="E29" s="36"/>
      <c r="F29" s="4"/>
      <c r="G29" s="19"/>
    </row>
    <row r="30" spans="1:7">
      <c r="A30" s="5" t="s">
        <v>44</v>
      </c>
      <c r="B30" s="4"/>
      <c r="C30" s="4"/>
      <c r="D30" s="36"/>
      <c r="E30" s="36" t="s">
        <v>9</v>
      </c>
      <c r="F30" s="4" t="s">
        <v>9</v>
      </c>
      <c r="G30" s="19" t="s">
        <v>9</v>
      </c>
    </row>
    <row r="31" spans="1:7">
      <c r="A31" s="3" t="s">
        <v>45</v>
      </c>
      <c r="B31" s="4" t="s">
        <v>46</v>
      </c>
      <c r="C31" s="4">
        <v>4</v>
      </c>
      <c r="D31" s="36">
        <f>+'PREC marzo 2014'!C7</f>
        <v>18000</v>
      </c>
      <c r="E31" s="36">
        <f>+D31*C31</f>
        <v>72000</v>
      </c>
      <c r="F31" s="18">
        <f t="shared" ref="F31:F43" si="7">+E31/$F$1</f>
        <v>133.69232197567544</v>
      </c>
      <c r="G31" s="19">
        <f>+E31/$E$70*100</f>
        <v>1.6849248858860471</v>
      </c>
    </row>
    <row r="32" spans="1:7">
      <c r="A32" s="3" t="s">
        <v>47</v>
      </c>
      <c r="B32" s="4" t="s">
        <v>46</v>
      </c>
      <c r="C32" s="4">
        <v>4</v>
      </c>
      <c r="D32" s="36">
        <f>+D31</f>
        <v>18000</v>
      </c>
      <c r="E32" s="36">
        <f>+D32*C32</f>
        <v>72000</v>
      </c>
      <c r="F32" s="18">
        <f t="shared" si="7"/>
        <v>133.69232197567544</v>
      </c>
      <c r="G32" s="19">
        <f>+E32/$E$70*100</f>
        <v>1.6849248858860471</v>
      </c>
    </row>
    <row r="33" spans="1:7">
      <c r="A33" s="3" t="s">
        <v>24</v>
      </c>
      <c r="B33" s="4" t="s">
        <v>48</v>
      </c>
      <c r="C33" s="4">
        <v>8</v>
      </c>
      <c r="D33" s="36">
        <f>'PREC marzo 2014'!E14</f>
        <v>1875</v>
      </c>
      <c r="E33" s="36">
        <f t="shared" ref="E33:E43" si="8">+D33*C33</f>
        <v>15000</v>
      </c>
      <c r="F33" s="18">
        <f t="shared" si="7"/>
        <v>27.852567078265714</v>
      </c>
      <c r="G33" s="19">
        <f>+E33/$E$70*100</f>
        <v>0.35102601789292648</v>
      </c>
    </row>
    <row r="34" spans="1:7">
      <c r="A34" s="9" t="s">
        <v>49</v>
      </c>
      <c r="B34" s="21" t="s">
        <v>9</v>
      </c>
      <c r="C34" s="21" t="s">
        <v>9</v>
      </c>
      <c r="D34" s="35" t="s">
        <v>9</v>
      </c>
      <c r="E34" s="35">
        <f>SUM(E31:E33)</f>
        <v>159000</v>
      </c>
      <c r="F34" s="22">
        <f t="shared" si="7"/>
        <v>295.23721102961656</v>
      </c>
      <c r="G34" s="23">
        <f>+E34/$E$70*100</f>
        <v>3.7208757896650209</v>
      </c>
    </row>
    <row r="35" spans="1:7">
      <c r="A35" s="5" t="s">
        <v>50</v>
      </c>
      <c r="B35" s="4" t="s">
        <v>9</v>
      </c>
      <c r="C35" s="4" t="s">
        <v>9</v>
      </c>
      <c r="D35" s="36" t="s">
        <v>9</v>
      </c>
      <c r="E35" s="36" t="s">
        <v>9</v>
      </c>
      <c r="F35" s="18" t="s">
        <v>9</v>
      </c>
      <c r="G35" s="19" t="s">
        <v>9</v>
      </c>
    </row>
    <row r="36" spans="1:7">
      <c r="A36" s="3" t="s">
        <v>51</v>
      </c>
      <c r="B36" s="4" t="s">
        <v>23</v>
      </c>
      <c r="C36" s="4">
        <v>140</v>
      </c>
      <c r="D36" s="36">
        <f t="shared" ref="D36:D43" si="9">+$F$2</f>
        <v>985.47749999999996</v>
      </c>
      <c r="E36" s="36">
        <f t="shared" si="8"/>
        <v>137966.85</v>
      </c>
      <c r="F36" s="18">
        <f t="shared" si="7"/>
        <v>256.18206294680164</v>
      </c>
      <c r="G36" s="19">
        <f t="shared" ref="G36:G43" si="10">+E36/$E$70*100</f>
        <v>3.2286635971153803</v>
      </c>
    </row>
    <row r="37" spans="1:7">
      <c r="A37" s="3" t="s">
        <v>52</v>
      </c>
      <c r="B37" s="4" t="s">
        <v>23</v>
      </c>
      <c r="C37" s="4">
        <v>10</v>
      </c>
      <c r="D37" s="36">
        <f t="shared" si="9"/>
        <v>985.47749999999996</v>
      </c>
      <c r="E37" s="36">
        <f t="shared" si="8"/>
        <v>9854.7749999999996</v>
      </c>
      <c r="F37" s="18">
        <f t="shared" si="7"/>
        <v>18.298718781914399</v>
      </c>
      <c r="G37" s="19">
        <f t="shared" si="10"/>
        <v>0.23061882836538428</v>
      </c>
    </row>
    <row r="38" spans="1:7">
      <c r="A38" s="3" t="s">
        <v>53</v>
      </c>
      <c r="B38" s="4" t="s">
        <v>23</v>
      </c>
      <c r="C38" s="4">
        <v>200</v>
      </c>
      <c r="D38" s="36">
        <f t="shared" si="9"/>
        <v>985.47749999999996</v>
      </c>
      <c r="E38" s="36">
        <f t="shared" si="8"/>
        <v>197095.5</v>
      </c>
      <c r="F38" s="18">
        <f t="shared" si="7"/>
        <v>365.97437563828805</v>
      </c>
      <c r="G38" s="19">
        <f t="shared" si="10"/>
        <v>4.6123765673076864</v>
      </c>
    </row>
    <row r="39" spans="1:7">
      <c r="A39" s="3" t="s">
        <v>54</v>
      </c>
      <c r="B39" s="4" t="s">
        <v>23</v>
      </c>
      <c r="C39" s="4">
        <v>48</v>
      </c>
      <c r="D39" s="36">
        <f t="shared" si="9"/>
        <v>985.47749999999996</v>
      </c>
      <c r="E39" s="36">
        <f t="shared" si="8"/>
        <v>47302.92</v>
      </c>
      <c r="F39" s="18">
        <f t="shared" si="7"/>
        <v>87.833850153189118</v>
      </c>
      <c r="G39" s="19">
        <f t="shared" si="10"/>
        <v>1.1069703761538445</v>
      </c>
    </row>
    <row r="40" spans="1:7">
      <c r="A40" s="3" t="s">
        <v>55</v>
      </c>
      <c r="B40" s="4" t="s">
        <v>23</v>
      </c>
      <c r="C40" s="4">
        <v>24</v>
      </c>
      <c r="D40" s="36">
        <f t="shared" si="9"/>
        <v>985.47749999999996</v>
      </c>
      <c r="E40" s="36">
        <f t="shared" si="8"/>
        <v>23651.46</v>
      </c>
      <c r="F40" s="18">
        <f t="shared" si="7"/>
        <v>43.916925076594559</v>
      </c>
      <c r="G40" s="19">
        <f t="shared" si="10"/>
        <v>0.55348518807692226</v>
      </c>
    </row>
    <row r="41" spans="1:7">
      <c r="A41" s="3" t="s">
        <v>56</v>
      </c>
      <c r="B41" s="4" t="s">
        <v>23</v>
      </c>
      <c r="C41" s="4">
        <v>80</v>
      </c>
      <c r="D41" s="36">
        <f t="shared" si="9"/>
        <v>985.47749999999996</v>
      </c>
      <c r="E41" s="36">
        <f t="shared" si="8"/>
        <v>78838.2</v>
      </c>
      <c r="F41" s="18">
        <f t="shared" si="7"/>
        <v>146.38975025531519</v>
      </c>
      <c r="G41" s="19">
        <f t="shared" si="10"/>
        <v>1.8449506269230742</v>
      </c>
    </row>
    <row r="42" spans="1:7">
      <c r="A42" s="3" t="s">
        <v>31</v>
      </c>
      <c r="B42" s="4" t="s">
        <v>23</v>
      </c>
      <c r="C42" s="4">
        <v>28</v>
      </c>
      <c r="D42" s="36">
        <f t="shared" si="9"/>
        <v>985.47749999999996</v>
      </c>
      <c r="E42" s="36">
        <f t="shared" si="8"/>
        <v>27593.37</v>
      </c>
      <c r="F42" s="18">
        <f t="shared" si="7"/>
        <v>51.23641258936032</v>
      </c>
      <c r="G42" s="19">
        <f t="shared" si="10"/>
        <v>0.64573271942307608</v>
      </c>
    </row>
    <row r="43" spans="1:7" ht="13.5" thickBot="1">
      <c r="A43" s="14" t="s">
        <v>57</v>
      </c>
      <c r="B43" s="24" t="s">
        <v>23</v>
      </c>
      <c r="C43" s="24">
        <v>300</v>
      </c>
      <c r="D43" s="49">
        <f t="shared" si="9"/>
        <v>985.47749999999996</v>
      </c>
      <c r="E43" s="49">
        <f t="shared" si="8"/>
        <v>295643.25</v>
      </c>
      <c r="F43" s="25">
        <f t="shared" si="7"/>
        <v>548.96156345743202</v>
      </c>
      <c r="G43" s="26">
        <f t="shared" si="10"/>
        <v>6.9185648509615296</v>
      </c>
    </row>
    <row r="44" spans="1:7">
      <c r="A44" s="3" t="s">
        <v>58</v>
      </c>
      <c r="B44" s="4" t="s">
        <v>23</v>
      </c>
      <c r="C44" s="4">
        <v>1100</v>
      </c>
      <c r="D44" s="36">
        <f>+$F$2</f>
        <v>985.47749999999996</v>
      </c>
      <c r="E44" s="36">
        <f>+D44*C44</f>
        <v>1084025.25</v>
      </c>
      <c r="F44" s="18">
        <f>+E44/$F$1</f>
        <v>2012.8590660105842</v>
      </c>
      <c r="G44" s="19">
        <f>+E44/$E$70*100</f>
        <v>25.368071120192269</v>
      </c>
    </row>
    <row r="45" spans="1:7">
      <c r="A45" s="3" t="s">
        <v>27</v>
      </c>
      <c r="B45" s="4" t="s">
        <v>23</v>
      </c>
      <c r="C45" s="4">
        <v>34</v>
      </c>
      <c r="D45" s="36">
        <f>+$F$2</f>
        <v>985.47749999999996</v>
      </c>
      <c r="E45" s="36">
        <f>+D45*C45</f>
        <v>33506.235000000001</v>
      </c>
      <c r="F45" s="18">
        <f>+E45/$F$1</f>
        <v>62.215643858508969</v>
      </c>
      <c r="G45" s="19">
        <f>+E45/$E$70*100</f>
        <v>0.78410401644230654</v>
      </c>
    </row>
    <row r="46" spans="1:7">
      <c r="A46" s="3" t="s">
        <v>32</v>
      </c>
      <c r="B46" s="4" t="s">
        <v>23</v>
      </c>
      <c r="C46" s="4">
        <f>SUM(C36:C45)</f>
        <v>1964</v>
      </c>
      <c r="D46" s="36">
        <f>+$F$2</f>
        <v>985.47749999999996</v>
      </c>
      <c r="E46" s="36">
        <f>+D46*C46</f>
        <v>1935477.8099999998</v>
      </c>
      <c r="F46" s="18">
        <f>+E46/$F$1</f>
        <v>3593.8683687679882</v>
      </c>
      <c r="G46" s="19">
        <f>+E46/$E$70*100</f>
        <v>45.293537890961474</v>
      </c>
    </row>
    <row r="47" spans="1:7">
      <c r="A47" s="72" t="s">
        <v>713</v>
      </c>
      <c r="B47" s="72" t="s">
        <v>717</v>
      </c>
      <c r="C47" s="72"/>
      <c r="D47" s="72"/>
      <c r="E47" s="73">
        <f>'PREC marzo 2014'!E10</f>
        <v>168000</v>
      </c>
      <c r="F47" s="74">
        <f>+F46*0.24</f>
        <v>862.5284085043171</v>
      </c>
      <c r="G47" s="74">
        <f>+G46*0.24</f>
        <v>10.870449093830754</v>
      </c>
    </row>
    <row r="48" spans="1:7" ht="13.5" thickBot="1">
      <c r="A48" s="10" t="s">
        <v>59</v>
      </c>
      <c r="B48" s="27"/>
      <c r="C48" s="27"/>
      <c r="D48" s="50"/>
      <c r="E48" s="34">
        <f>+E47+E46</f>
        <v>2103477.8099999996</v>
      </c>
      <c r="F48" s="34">
        <f>+E48/$F$1</f>
        <v>3905.8171200445636</v>
      </c>
      <c r="G48" s="28">
        <f>+E48/$E$70*100</f>
        <v>49.22502929136224</v>
      </c>
    </row>
    <row r="49" spans="1:7" ht="13.5" thickTop="1">
      <c r="A49" s="5" t="s">
        <v>60</v>
      </c>
      <c r="B49" s="4"/>
      <c r="C49" s="4"/>
      <c r="D49" s="36"/>
      <c r="E49" s="51"/>
      <c r="F49" s="29"/>
      <c r="G49" s="30"/>
    </row>
    <row r="50" spans="1:7">
      <c r="A50" s="12" t="s">
        <v>61</v>
      </c>
      <c r="B50" s="4" t="s">
        <v>83</v>
      </c>
      <c r="C50" s="4">
        <v>2</v>
      </c>
      <c r="D50" s="36">
        <f>+'PREC marzo 2014'!C195</f>
        <v>2677</v>
      </c>
      <c r="E50" s="36">
        <f t="shared" ref="E50:E63" si="11">+D50*C50</f>
        <v>5354</v>
      </c>
      <c r="F50" s="18">
        <f t="shared" ref="F50:F64" si="12">+E50/$F$1</f>
        <v>9.9415096091356432</v>
      </c>
      <c r="G50" s="19">
        <f t="shared" ref="G50:G64" si="13">+E50/$E$70*100</f>
        <v>0.12529288665324856</v>
      </c>
    </row>
    <row r="51" spans="1:7">
      <c r="A51" s="12" t="s">
        <v>843</v>
      </c>
      <c r="B51" s="4" t="s">
        <v>36</v>
      </c>
      <c r="C51" s="4">
        <v>750</v>
      </c>
      <c r="D51" s="36">
        <f>'PREC marzo 2014'!E71</f>
        <v>287.9869565217391</v>
      </c>
      <c r="E51" s="36">
        <f t="shared" si="11"/>
        <v>215990.21739130432</v>
      </c>
      <c r="F51" s="18">
        <f t="shared" si="12"/>
        <v>401.05880120936655</v>
      </c>
      <c r="G51" s="19">
        <f t="shared" si="13"/>
        <v>5.0545457276464711</v>
      </c>
    </row>
    <row r="52" spans="1:7">
      <c r="A52" s="801" t="s">
        <v>767</v>
      </c>
      <c r="B52" s="4" t="s">
        <v>36</v>
      </c>
      <c r="C52" s="4">
        <v>600</v>
      </c>
      <c r="D52" s="36">
        <f>'PREC marzo 2014'!E78</f>
        <v>426.66666666666669</v>
      </c>
      <c r="E52" s="36">
        <f t="shared" si="11"/>
        <v>256000</v>
      </c>
      <c r="F52" s="18">
        <f t="shared" si="12"/>
        <v>475.35047813573487</v>
      </c>
      <c r="G52" s="19">
        <f t="shared" si="13"/>
        <v>5.9908440387059452</v>
      </c>
    </row>
    <row r="53" spans="1:7">
      <c r="A53" s="12" t="s">
        <v>1201</v>
      </c>
      <c r="B53" s="4" t="s">
        <v>38</v>
      </c>
      <c r="C53" s="4">
        <v>0.4</v>
      </c>
      <c r="D53" s="36">
        <f>'PREC marzo 2014'!E186</f>
        <v>32000</v>
      </c>
      <c r="E53" s="36">
        <f t="shared" si="11"/>
        <v>12800</v>
      </c>
      <c r="F53" s="18">
        <f t="shared" si="12"/>
        <v>23.767523906786746</v>
      </c>
      <c r="G53" s="19">
        <f t="shared" si="13"/>
        <v>0.29954220193529724</v>
      </c>
    </row>
    <row r="54" spans="1:7">
      <c r="A54" s="13" t="s">
        <v>1202</v>
      </c>
      <c r="B54" s="4" t="s">
        <v>38</v>
      </c>
      <c r="C54" s="4">
        <v>1</v>
      </c>
      <c r="D54" s="36">
        <f>'PREC marzo 2014'!E211</f>
        <v>97000</v>
      </c>
      <c r="E54" s="36">
        <f t="shared" si="11"/>
        <v>97000</v>
      </c>
      <c r="F54" s="18">
        <f t="shared" si="12"/>
        <v>180.11326710611829</v>
      </c>
      <c r="G54" s="19">
        <f t="shared" si="13"/>
        <v>2.2699682490409248</v>
      </c>
    </row>
    <row r="55" spans="1:7">
      <c r="A55" s="12" t="s">
        <v>62</v>
      </c>
      <c r="B55" s="4" t="s">
        <v>36</v>
      </c>
      <c r="C55" s="4">
        <v>9.4</v>
      </c>
      <c r="D55" s="36">
        <f>'PREC marzo 2014'!E142</f>
        <v>6816</v>
      </c>
      <c r="E55" s="36">
        <f t="shared" si="11"/>
        <v>64070.400000000001</v>
      </c>
      <c r="F55" s="18">
        <f t="shared" si="12"/>
        <v>118.96834091542105</v>
      </c>
      <c r="G55" s="19">
        <f t="shared" si="13"/>
        <v>1.4993584917871303</v>
      </c>
    </row>
    <row r="56" spans="1:7">
      <c r="A56" s="13" t="s">
        <v>63</v>
      </c>
      <c r="B56" s="4" t="s">
        <v>36</v>
      </c>
      <c r="C56" s="4">
        <v>15</v>
      </c>
      <c r="D56" s="36">
        <f>'PREC marzo 2014'!E155</f>
        <v>17252</v>
      </c>
      <c r="E56" s="36">
        <f t="shared" si="11"/>
        <v>258780</v>
      </c>
      <c r="F56" s="18">
        <f t="shared" si="12"/>
        <v>480.51248723424015</v>
      </c>
      <c r="G56" s="19">
        <f t="shared" si="13"/>
        <v>6.0559008606887677</v>
      </c>
    </row>
    <row r="57" spans="1:7">
      <c r="A57" s="13" t="s">
        <v>87</v>
      </c>
      <c r="B57" s="4" t="s">
        <v>38</v>
      </c>
      <c r="C57" s="4">
        <v>1.5</v>
      </c>
      <c r="D57" s="36">
        <f>+'PREC marzo 2014'!E159</f>
        <v>4877.173913043478</v>
      </c>
      <c r="E57" s="36">
        <f t="shared" si="11"/>
        <v>7315.760869565217</v>
      </c>
      <c r="F57" s="18">
        <f t="shared" si="12"/>
        <v>13.584181356541116</v>
      </c>
      <c r="G57" s="19">
        <f t="shared" si="13"/>
        <v>0.17120149372669141</v>
      </c>
    </row>
    <row r="58" spans="1:7">
      <c r="A58" s="31" t="s">
        <v>64</v>
      </c>
      <c r="B58" s="4" t="s">
        <v>36</v>
      </c>
      <c r="C58" s="4">
        <v>15</v>
      </c>
      <c r="D58" s="36">
        <f>'PREC marzo 2014'!E119</f>
        <v>2384</v>
      </c>
      <c r="E58" s="36">
        <f t="shared" si="11"/>
        <v>35760</v>
      </c>
      <c r="F58" s="18">
        <f t="shared" si="12"/>
        <v>66.400519914585473</v>
      </c>
      <c r="G58" s="19">
        <f t="shared" si="13"/>
        <v>0.83684602665673669</v>
      </c>
    </row>
    <row r="59" spans="1:7">
      <c r="A59" s="13" t="s">
        <v>65</v>
      </c>
      <c r="B59" s="4" t="s">
        <v>38</v>
      </c>
      <c r="C59" s="4">
        <v>1</v>
      </c>
      <c r="D59" s="36">
        <f>'PREC marzo 2014'!E109</f>
        <v>3011</v>
      </c>
      <c r="E59" s="36">
        <f t="shared" si="11"/>
        <v>3011</v>
      </c>
      <c r="F59" s="18">
        <f t="shared" si="12"/>
        <v>5.5909386315105376</v>
      </c>
      <c r="G59" s="19">
        <f t="shared" si="13"/>
        <v>7.0462622658373442E-2</v>
      </c>
    </row>
    <row r="60" spans="1:7">
      <c r="A60" s="13" t="s">
        <v>88</v>
      </c>
      <c r="B60" s="4" t="s">
        <v>38</v>
      </c>
      <c r="C60" s="4">
        <v>1.5</v>
      </c>
      <c r="D60" s="36">
        <f>'PREC marzo 2014'!E117</f>
        <v>14823</v>
      </c>
      <c r="E60" s="36">
        <f t="shared" si="11"/>
        <v>22234.5</v>
      </c>
      <c r="F60" s="18">
        <f t="shared" si="12"/>
        <v>41.285860180113268</v>
      </c>
      <c r="G60" s="19">
        <f t="shared" si="13"/>
        <v>0.52032586632268485</v>
      </c>
    </row>
    <row r="61" spans="1:7">
      <c r="A61" s="974" t="s">
        <v>1100</v>
      </c>
      <c r="B61" s="4" t="s">
        <v>38</v>
      </c>
      <c r="C61" s="4">
        <v>3</v>
      </c>
      <c r="D61" s="36">
        <f>'PREC marzo 2014'!E235</f>
        <v>6107</v>
      </c>
      <c r="E61" s="36">
        <f t="shared" si="11"/>
        <v>18321</v>
      </c>
      <c r="F61" s="18">
        <f t="shared" si="12"/>
        <v>34.019125429393746</v>
      </c>
      <c r="G61" s="19">
        <f t="shared" si="13"/>
        <v>0.42874317825442043</v>
      </c>
    </row>
    <row r="62" spans="1:7">
      <c r="A62" s="12" t="s">
        <v>84</v>
      </c>
      <c r="B62" s="4" t="s">
        <v>38</v>
      </c>
      <c r="C62" s="4">
        <v>4</v>
      </c>
      <c r="D62" s="36">
        <f>'PREC marzo 2014'!E216</f>
        <v>14000</v>
      </c>
      <c r="E62" s="36">
        <f t="shared" si="11"/>
        <v>56000</v>
      </c>
      <c r="F62" s="18">
        <f t="shared" si="12"/>
        <v>103.98291709219201</v>
      </c>
      <c r="G62" s="19">
        <f t="shared" si="13"/>
        <v>1.3104971334669255</v>
      </c>
    </row>
    <row r="63" spans="1:7">
      <c r="A63" s="4" t="s">
        <v>85</v>
      </c>
      <c r="B63" s="4" t="s">
        <v>38</v>
      </c>
      <c r="C63" s="4">
        <v>2</v>
      </c>
      <c r="D63" s="36">
        <f>'PREC marzo 2014'!E219</f>
        <v>18520</v>
      </c>
      <c r="E63" s="36">
        <f t="shared" si="11"/>
        <v>37040</v>
      </c>
      <c r="F63" s="18">
        <f t="shared" si="12"/>
        <v>68.777272305264134</v>
      </c>
      <c r="G63" s="19">
        <f t="shared" si="13"/>
        <v>0.86680024685026646</v>
      </c>
    </row>
    <row r="64" spans="1:7">
      <c r="A64" s="9" t="s">
        <v>32</v>
      </c>
      <c r="B64" s="21"/>
      <c r="C64" s="21" t="s">
        <v>9</v>
      </c>
      <c r="D64" s="35" t="s">
        <v>9</v>
      </c>
      <c r="E64" s="35">
        <f>SUM(E50:E63)</f>
        <v>1089676.8782608695</v>
      </c>
      <c r="F64" s="35">
        <f t="shared" si="12"/>
        <v>2023.3532230264036</v>
      </c>
      <c r="G64" s="23">
        <f t="shared" si="13"/>
        <v>25.500329024393885</v>
      </c>
    </row>
    <row r="65" spans="1:10" ht="13.5" thickBot="1">
      <c r="A65" s="32" t="s">
        <v>66</v>
      </c>
      <c r="B65" s="4"/>
      <c r="C65" s="4" t="s">
        <v>9</v>
      </c>
      <c r="D65" s="36" t="s">
        <v>9</v>
      </c>
      <c r="E65" s="36" t="s">
        <v>9</v>
      </c>
      <c r="F65" s="18" t="s">
        <v>9</v>
      </c>
      <c r="G65" s="19" t="s">
        <v>9</v>
      </c>
    </row>
    <row r="66" spans="1:10" ht="13.5" thickTop="1">
      <c r="A66" s="3" t="s">
        <v>89</v>
      </c>
      <c r="B66" s="4" t="s">
        <v>36</v>
      </c>
      <c r="C66" s="4">
        <v>40</v>
      </c>
      <c r="D66" s="36">
        <f>'PREC marzo 2014'!B278</f>
        <v>2498</v>
      </c>
      <c r="E66" s="36">
        <f>+D66*C66</f>
        <v>99920</v>
      </c>
      <c r="F66" s="18">
        <f>+E66/$F$1</f>
        <v>185.53523349735403</v>
      </c>
      <c r="G66" s="19">
        <f>+E66/$E$70*100</f>
        <v>2.3383013138574142</v>
      </c>
    </row>
    <row r="67" spans="1:10">
      <c r="A67" s="12" t="s">
        <v>67</v>
      </c>
      <c r="B67" s="4"/>
      <c r="C67" s="4" t="s">
        <v>9</v>
      </c>
      <c r="D67" s="36" t="s">
        <v>9</v>
      </c>
      <c r="E67" s="36">
        <v>70000</v>
      </c>
      <c r="F67" s="18">
        <f>+E67/$F$1</f>
        <v>129.97864636524</v>
      </c>
      <c r="G67" s="19">
        <f>+E67/$E$70*100</f>
        <v>1.6381214168336569</v>
      </c>
    </row>
    <row r="68" spans="1:10">
      <c r="A68" s="12" t="s">
        <v>68</v>
      </c>
      <c r="B68" s="4"/>
      <c r="C68" s="4" t="s">
        <v>9</v>
      </c>
      <c r="D68" s="36" t="s">
        <v>9</v>
      </c>
      <c r="E68" s="36">
        <v>40000</v>
      </c>
      <c r="F68" s="18">
        <f>+E68/$F$1</f>
        <v>74.273512208708581</v>
      </c>
      <c r="G68" s="19">
        <f>+E68/$E$70*100</f>
        <v>0.93606938104780391</v>
      </c>
    </row>
    <row r="69" spans="1:10" ht="13.5" thickBot="1">
      <c r="A69" s="33" t="s">
        <v>69</v>
      </c>
      <c r="B69" s="21"/>
      <c r="C69" s="21" t="s">
        <v>9</v>
      </c>
      <c r="D69" s="35" t="s">
        <v>9</v>
      </c>
      <c r="E69" s="35">
        <f>SUM(E66:E68)</f>
        <v>209920</v>
      </c>
      <c r="F69" s="22">
        <f>+E69/$F$1</f>
        <v>389.78739207130258</v>
      </c>
      <c r="G69" s="23">
        <f>+E69/$E$70*100</f>
        <v>4.9124921117388753</v>
      </c>
    </row>
    <row r="70" spans="1:10" ht="14.25" thickTop="1" thickBot="1">
      <c r="A70" s="447" t="s">
        <v>70</v>
      </c>
      <c r="B70" s="448"/>
      <c r="C70" s="448"/>
      <c r="D70" s="449"/>
      <c r="E70" s="449">
        <f>+E69+E64+E48+E34+E28+E19</f>
        <v>4273187.5232608691</v>
      </c>
      <c r="F70" s="449">
        <f>+F69+F64+F48+F34+F28+F19</f>
        <v>7934.6161419754335</v>
      </c>
      <c r="G70" s="448">
        <f>+E70/E70*100</f>
        <v>100</v>
      </c>
      <c r="I70" s="875" t="s">
        <v>9</v>
      </c>
      <c r="J70" s="1007" t="s">
        <v>9</v>
      </c>
    </row>
    <row r="71" spans="1:10">
      <c r="A71" t="s">
        <v>634</v>
      </c>
    </row>
    <row r="72" spans="1:10" ht="15.75">
      <c r="A72" s="1024" t="s">
        <v>90</v>
      </c>
      <c r="B72" s="1022">
        <v>28190</v>
      </c>
      <c r="C72" s="450" t="s">
        <v>91</v>
      </c>
      <c r="D72" s="1022"/>
      <c r="E72" s="450"/>
      <c r="F72" s="1022"/>
      <c r="G72" s="450"/>
    </row>
    <row r="73" spans="1:10" ht="15.75">
      <c r="A73" s="1025" t="s">
        <v>642</v>
      </c>
      <c r="B73" s="1023">
        <f>+E70/B72</f>
        <v>151.58522608232951</v>
      </c>
      <c r="C73" s="451" t="s">
        <v>74</v>
      </c>
      <c r="D73" s="452"/>
      <c r="E73" s="451"/>
      <c r="F73" s="452"/>
      <c r="G73" s="451"/>
    </row>
    <row r="74" spans="1:10">
      <c r="A74" s="1019" t="str">
        <f>'papa 1'!D64</f>
        <v>Precio finca mayo 2015</v>
      </c>
      <c r="B74" s="1020">
        <f>resumen!F5</f>
        <v>350</v>
      </c>
      <c r="C74" s="1021" t="s">
        <v>74</v>
      </c>
      <c r="D74" t="s">
        <v>9</v>
      </c>
      <c r="E74" t="s">
        <v>9</v>
      </c>
      <c r="F74" t="s">
        <v>9</v>
      </c>
    </row>
    <row r="75" spans="1:10">
      <c r="A75" s="730" t="s">
        <v>71</v>
      </c>
      <c r="B75" s="226"/>
      <c r="C75" s="226"/>
    </row>
    <row r="76" spans="1:10">
      <c r="A76" s="454" t="s">
        <v>1164</v>
      </c>
      <c r="B76" s="455" t="s">
        <v>73</v>
      </c>
      <c r="C76" s="456">
        <f>B72</f>
        <v>28190</v>
      </c>
    </row>
    <row r="77" spans="1:10">
      <c r="A77" s="88" t="str">
        <f>A74</f>
        <v>Precio finca mayo 2015</v>
      </c>
      <c r="B77" s="17" t="s">
        <v>74</v>
      </c>
      <c r="C77" s="89">
        <f>B74</f>
        <v>350</v>
      </c>
    </row>
    <row r="78" spans="1:10">
      <c r="A78" s="88" t="s">
        <v>75</v>
      </c>
      <c r="B78" s="17" t="s">
        <v>8</v>
      </c>
      <c r="C78" s="89">
        <f>+C77*C76</f>
        <v>9866500</v>
      </c>
    </row>
    <row r="79" spans="1:10">
      <c r="A79" s="88" t="s">
        <v>76</v>
      </c>
      <c r="B79" s="17" t="s">
        <v>8</v>
      </c>
      <c r="C79" s="89">
        <f>+$E$70</f>
        <v>4273187.5232608691</v>
      </c>
    </row>
    <row r="80" spans="1:10">
      <c r="A80" s="88" t="s">
        <v>86</v>
      </c>
      <c r="B80" s="17" t="s">
        <v>8</v>
      </c>
      <c r="C80" s="90">
        <f>+C79/C76</f>
        <v>151.58522608232951</v>
      </c>
    </row>
    <row r="81" spans="1:7">
      <c r="A81" s="88" t="s">
        <v>77</v>
      </c>
      <c r="B81" s="17" t="s">
        <v>8</v>
      </c>
      <c r="C81" s="871">
        <f>+C78-C79</f>
        <v>5593312.4767391309</v>
      </c>
    </row>
    <row r="82" spans="1:7">
      <c r="A82" s="88" t="s">
        <v>78</v>
      </c>
      <c r="B82" s="8" t="s">
        <v>79</v>
      </c>
      <c r="C82" s="91">
        <f>+C78/C79</f>
        <v>2.3089321370270395</v>
      </c>
    </row>
    <row r="83" spans="1:7">
      <c r="G83" t="s">
        <v>9</v>
      </c>
    </row>
    <row r="84" spans="1:7">
      <c r="A84" s="229" t="s">
        <v>653</v>
      </c>
    </row>
    <row r="85" spans="1:7">
      <c r="A85" t="s">
        <v>9</v>
      </c>
      <c r="E85" t="s">
        <v>9</v>
      </c>
    </row>
  </sheetData>
  <phoneticPr fontId="34" type="noConversion"/>
  <pageMargins left="1.1811023622047245" right="0.37" top="0.57999999999999996" bottom="0.73" header="0.51181102362204722" footer="0.61"/>
  <pageSetup scale="65" orientation="portrait" horizontalDpi="120" verticalDpi="180" r:id="rId1"/>
  <headerFooter alignWithMargins="0"/>
</worksheet>
</file>

<file path=xl/worksheets/sheet6.xml><?xml version="1.0" encoding="utf-8"?>
<worksheet xmlns="http://schemas.openxmlformats.org/spreadsheetml/2006/main" xmlns:r="http://schemas.openxmlformats.org/officeDocument/2006/relationships">
  <dimension ref="A1:H58"/>
  <sheetViews>
    <sheetView topLeftCell="A33" workbookViewId="0">
      <selection activeCell="A55" sqref="A1:G55"/>
    </sheetView>
  </sheetViews>
  <sheetFormatPr baseColWidth="10" defaultRowHeight="12.75"/>
  <cols>
    <col min="1" max="1" width="34.140625" customWidth="1"/>
    <col min="2" max="2" width="10.140625" customWidth="1"/>
    <col min="3" max="3" width="7.85546875" customWidth="1"/>
    <col min="4" max="4" width="8.7109375" customWidth="1"/>
    <col min="5" max="5" width="13" customWidth="1"/>
    <col min="6" max="6" width="8.7109375" customWidth="1"/>
    <col min="7" max="7" width="9.5703125" customWidth="1"/>
  </cols>
  <sheetData>
    <row r="1" spans="1:8" ht="13.5" thickBot="1">
      <c r="A1" s="133" t="s">
        <v>189</v>
      </c>
      <c r="B1" s="134"/>
      <c r="C1" s="134"/>
      <c r="D1" s="134"/>
      <c r="E1" s="134"/>
      <c r="F1" s="134"/>
      <c r="G1" s="134"/>
    </row>
    <row r="2" spans="1:8">
      <c r="A2" s="133" t="s">
        <v>190</v>
      </c>
      <c r="B2" s="134"/>
      <c r="C2" s="134"/>
      <c r="D2" s="135" t="s">
        <v>191</v>
      </c>
      <c r="E2" s="136">
        <f>'PREC marzo 2014'!C11</f>
        <v>7883.82</v>
      </c>
      <c r="F2" s="137" t="s">
        <v>8</v>
      </c>
    </row>
    <row r="3" spans="1:8" ht="13.5" thickBot="1">
      <c r="A3" s="138" t="s">
        <v>192</v>
      </c>
      <c r="B3" s="134"/>
      <c r="C3" s="134"/>
      <c r="D3" s="139" t="s">
        <v>193</v>
      </c>
      <c r="E3" s="140">
        <f>+'PREC marzo 2014'!B4</f>
        <v>538.54999999999995</v>
      </c>
      <c r="F3" s="141" t="s">
        <v>8</v>
      </c>
    </row>
    <row r="4" spans="1:8" ht="13.5" thickBot="1">
      <c r="A4" s="53" t="s">
        <v>188</v>
      </c>
      <c r="B4" s="54">
        <f>+'PREC marzo 2014'!B3</f>
        <v>42143</v>
      </c>
      <c r="C4" s="134"/>
      <c r="D4" s="134"/>
      <c r="E4" s="134"/>
      <c r="F4" s="134"/>
      <c r="G4" s="134"/>
    </row>
    <row r="5" spans="1:8">
      <c r="A5" s="469"/>
      <c r="B5" s="470"/>
      <c r="C5" s="471" t="s">
        <v>9</v>
      </c>
      <c r="D5" s="472" t="s">
        <v>194</v>
      </c>
      <c r="E5" s="472" t="s">
        <v>13</v>
      </c>
      <c r="F5" s="472" t="s">
        <v>195</v>
      </c>
      <c r="G5" s="473" t="s">
        <v>196</v>
      </c>
    </row>
    <row r="6" spans="1:8">
      <c r="A6" s="474" t="s">
        <v>95</v>
      </c>
      <c r="B6" s="475" t="s">
        <v>197</v>
      </c>
      <c r="C6" s="475" t="s">
        <v>198</v>
      </c>
      <c r="D6" s="475" t="s">
        <v>11</v>
      </c>
      <c r="E6" s="475" t="s">
        <v>16</v>
      </c>
      <c r="F6" s="476"/>
      <c r="G6" s="477" t="s">
        <v>199</v>
      </c>
    </row>
    <row r="7" spans="1:8" ht="13.5" thickBot="1">
      <c r="A7" s="478" t="s">
        <v>9</v>
      </c>
      <c r="B7" s="479"/>
      <c r="C7" s="479"/>
      <c r="D7" s="480" t="s">
        <v>9</v>
      </c>
      <c r="E7" s="481" t="s">
        <v>200</v>
      </c>
      <c r="F7" s="481" t="s">
        <v>82</v>
      </c>
      <c r="G7" s="482" t="s">
        <v>201</v>
      </c>
    </row>
    <row r="8" spans="1:8">
      <c r="A8" s="142" t="s">
        <v>134</v>
      </c>
      <c r="B8" s="143"/>
      <c r="C8" s="144"/>
      <c r="D8" s="144"/>
      <c r="E8" s="145" t="s">
        <v>9</v>
      </c>
      <c r="F8" s="144"/>
      <c r="G8" s="146"/>
    </row>
    <row r="9" spans="1:8">
      <c r="A9" s="147" t="s">
        <v>202</v>
      </c>
      <c r="B9" s="143"/>
      <c r="C9" s="144"/>
      <c r="D9" s="144"/>
      <c r="E9" s="145" t="s">
        <v>9</v>
      </c>
      <c r="F9" s="144"/>
      <c r="G9" s="146"/>
    </row>
    <row r="10" spans="1:8">
      <c r="A10" s="147" t="s">
        <v>203</v>
      </c>
      <c r="B10" s="148" t="s">
        <v>204</v>
      </c>
      <c r="C10" s="149">
        <v>4</v>
      </c>
      <c r="D10" s="754">
        <f>+'PREC marzo 2014'!C7</f>
        <v>18000</v>
      </c>
      <c r="E10" s="754">
        <f>C10*D10</f>
        <v>72000</v>
      </c>
      <c r="F10" s="149">
        <f>E10/$E$50*100</f>
        <v>2.1041877532683371</v>
      </c>
      <c r="G10" s="151">
        <f>E10/E$3</f>
        <v>133.69232197567544</v>
      </c>
    </row>
    <row r="11" spans="1:8" ht="13.5" thickBot="1">
      <c r="A11" s="147" t="s">
        <v>205</v>
      </c>
      <c r="B11" s="148" t="s">
        <v>206</v>
      </c>
      <c r="C11" s="149">
        <v>12</v>
      </c>
      <c r="D11" s="754">
        <f>'PREC marzo 2014'!E13</f>
        <v>1875</v>
      </c>
      <c r="E11" s="754">
        <f>C11*D11</f>
        <v>22500</v>
      </c>
      <c r="F11" s="149">
        <f>E11/$E$50*100</f>
        <v>0.65755867289635528</v>
      </c>
      <c r="G11" s="151">
        <f>E11/E$3</f>
        <v>41.778850617398575</v>
      </c>
    </row>
    <row r="12" spans="1:8" ht="13.5" thickBot="1">
      <c r="A12" s="152" t="s">
        <v>140</v>
      </c>
      <c r="B12" s="153"/>
      <c r="C12" s="153"/>
      <c r="D12" s="153"/>
      <c r="E12" s="802">
        <f>SUM(E10:E11)</f>
        <v>94500</v>
      </c>
      <c r="F12" s="154">
        <f>E12/$E$50*100</f>
        <v>2.7617464261646925</v>
      </c>
      <c r="G12" s="1010">
        <f>E12/E$3</f>
        <v>175.47117259307402</v>
      </c>
      <c r="H12" s="1008" t="s">
        <v>9</v>
      </c>
    </row>
    <row r="13" spans="1:8">
      <c r="A13" s="155"/>
      <c r="B13" s="156"/>
      <c r="C13" s="143"/>
      <c r="D13" s="157" t="s">
        <v>9</v>
      </c>
      <c r="E13" s="143"/>
      <c r="F13" s="143"/>
      <c r="G13" s="151">
        <f t="shared" ref="G13:G50" si="0">E13/E$3</f>
        <v>0</v>
      </c>
    </row>
    <row r="14" spans="1:8">
      <c r="A14" s="142" t="s">
        <v>207</v>
      </c>
      <c r="B14" s="156"/>
      <c r="C14" s="143"/>
      <c r="D14" s="156"/>
      <c r="E14" s="143"/>
      <c r="F14" s="143"/>
      <c r="G14" s="151">
        <f t="shared" si="0"/>
        <v>0</v>
      </c>
    </row>
    <row r="15" spans="1:8">
      <c r="A15" s="147" t="s">
        <v>1210</v>
      </c>
      <c r="B15" s="148" t="s">
        <v>143</v>
      </c>
      <c r="C15" s="150">
        <v>30</v>
      </c>
      <c r="D15" s="754">
        <f t="shared" ref="D15:D20" si="1">+$E$2</f>
        <v>7883.82</v>
      </c>
      <c r="E15" s="754">
        <f t="shared" ref="E15:E20" si="2">C15*D15</f>
        <v>236514.59999999998</v>
      </c>
      <c r="F15" s="149">
        <f t="shared" ref="F15:F21" si="3">E15/$E$50*100</f>
        <v>6.912098955404991</v>
      </c>
      <c r="G15" s="151">
        <f t="shared" si="0"/>
        <v>439.16925076594561</v>
      </c>
    </row>
    <row r="16" spans="1:8">
      <c r="A16" s="147" t="s">
        <v>1208</v>
      </c>
      <c r="B16" s="148" t="s">
        <v>143</v>
      </c>
      <c r="C16" s="150">
        <v>10</v>
      </c>
      <c r="D16" s="754">
        <f t="shared" si="1"/>
        <v>7883.82</v>
      </c>
      <c r="E16" s="754">
        <f t="shared" si="2"/>
        <v>78838.2</v>
      </c>
      <c r="F16" s="149">
        <f t="shared" si="3"/>
        <v>2.304032985134997</v>
      </c>
      <c r="G16" s="151">
        <f t="shared" si="0"/>
        <v>146.38975025531519</v>
      </c>
    </row>
    <row r="17" spans="1:7">
      <c r="A17" s="147" t="s">
        <v>1209</v>
      </c>
      <c r="B17" s="148" t="s">
        <v>143</v>
      </c>
      <c r="C17" s="150">
        <f>30/8</f>
        <v>3.75</v>
      </c>
      <c r="D17" s="754">
        <f t="shared" si="1"/>
        <v>7883.82</v>
      </c>
      <c r="E17" s="754">
        <f t="shared" si="2"/>
        <v>29564.324999999997</v>
      </c>
      <c r="F17" s="149">
        <f t="shared" si="3"/>
        <v>0.86401236942562387</v>
      </c>
      <c r="G17" s="151">
        <f t="shared" si="0"/>
        <v>54.896156345743201</v>
      </c>
    </row>
    <row r="18" spans="1:7">
      <c r="A18" s="147" t="s">
        <v>209</v>
      </c>
      <c r="B18" s="148" t="s">
        <v>143</v>
      </c>
      <c r="C18" s="150">
        <v>20</v>
      </c>
      <c r="D18" s="754">
        <f t="shared" si="1"/>
        <v>7883.82</v>
      </c>
      <c r="E18" s="754">
        <f t="shared" si="2"/>
        <v>157676.4</v>
      </c>
      <c r="F18" s="149">
        <f t="shared" si="3"/>
        <v>4.608065970269994</v>
      </c>
      <c r="G18" s="151">
        <f t="shared" si="0"/>
        <v>292.77950051063038</v>
      </c>
    </row>
    <row r="19" spans="1:7">
      <c r="A19" s="147" t="s">
        <v>1211</v>
      </c>
      <c r="B19" s="148" t="s">
        <v>143</v>
      </c>
      <c r="C19" s="150">
        <v>20</v>
      </c>
      <c r="D19" s="754">
        <f t="shared" si="1"/>
        <v>7883.82</v>
      </c>
      <c r="E19" s="754">
        <f t="shared" si="2"/>
        <v>157676.4</v>
      </c>
      <c r="F19" s="149">
        <f t="shared" si="3"/>
        <v>4.608065970269994</v>
      </c>
      <c r="G19" s="151">
        <f t="shared" si="0"/>
        <v>292.77950051063038</v>
      </c>
    </row>
    <row r="20" spans="1:7">
      <c r="A20" s="147" t="s">
        <v>211</v>
      </c>
      <c r="B20" s="148" t="s">
        <v>143</v>
      </c>
      <c r="C20" s="150">
        <v>50</v>
      </c>
      <c r="D20" s="754">
        <f t="shared" si="1"/>
        <v>7883.82</v>
      </c>
      <c r="E20" s="754">
        <f t="shared" si="2"/>
        <v>394191</v>
      </c>
      <c r="F20" s="149">
        <f t="shared" si="3"/>
        <v>11.520164925674987</v>
      </c>
      <c r="G20" s="151">
        <f t="shared" si="0"/>
        <v>731.9487512765761</v>
      </c>
    </row>
    <row r="21" spans="1:7">
      <c r="A21" s="158" t="s">
        <v>153</v>
      </c>
      <c r="B21" s="159" t="s">
        <v>143</v>
      </c>
      <c r="C21" s="160">
        <f>SUM(C15:C20)</f>
        <v>133.75</v>
      </c>
      <c r="D21" s="755"/>
      <c r="E21" s="756">
        <f>SUM(E15:E20)</f>
        <v>1054460.925</v>
      </c>
      <c r="F21" s="161">
        <f t="shared" si="3"/>
        <v>30.816441176180593</v>
      </c>
      <c r="G21" s="161">
        <f t="shared" si="0"/>
        <v>1957.9629096648409</v>
      </c>
    </row>
    <row r="22" spans="1:7" ht="13.5" thickBot="1">
      <c r="A22" s="159" t="s">
        <v>713</v>
      </c>
      <c r="B22" s="159" t="s">
        <v>717</v>
      </c>
      <c r="C22" s="159"/>
      <c r="D22" s="757"/>
      <c r="E22" s="756">
        <f>'PREC marzo 2014'!E10</f>
        <v>168000</v>
      </c>
      <c r="F22" s="161">
        <f>+F21*0.24</f>
        <v>7.3959458822833417</v>
      </c>
      <c r="G22" s="161">
        <f t="shared" si="0"/>
        <v>311.94875127657599</v>
      </c>
    </row>
    <row r="23" spans="1:7" ht="13.5" thickBot="1">
      <c r="A23" s="152" t="s">
        <v>153</v>
      </c>
      <c r="B23" s="153"/>
      <c r="C23" s="153"/>
      <c r="D23" s="153"/>
      <c r="E23" s="802">
        <f>+E22+E21</f>
        <v>1222460.925</v>
      </c>
      <c r="F23" s="154">
        <f>E23/$E$50*100</f>
        <v>35.726212600473382</v>
      </c>
      <c r="G23" s="1010">
        <f t="shared" si="0"/>
        <v>2269.9116609414173</v>
      </c>
    </row>
    <row r="24" spans="1:7">
      <c r="A24" s="142" t="s">
        <v>212</v>
      </c>
      <c r="B24" s="143"/>
      <c r="C24" s="143"/>
      <c r="D24" s="143" t="s">
        <v>9</v>
      </c>
      <c r="E24" s="143"/>
      <c r="F24" s="163" t="s">
        <v>9</v>
      </c>
      <c r="G24" s="151" t="s">
        <v>9</v>
      </c>
    </row>
    <row r="25" spans="1:7">
      <c r="A25" s="1217" t="s">
        <v>1267</v>
      </c>
      <c r="B25" s="148" t="s">
        <v>36</v>
      </c>
      <c r="C25" s="149">
        <f>12*46</f>
        <v>552</v>
      </c>
      <c r="D25" s="754">
        <f>'PREC marzo 2014'!E73</f>
        <v>402.8313333333333</v>
      </c>
      <c r="E25" s="754">
        <f t="shared" ref="E25:E41" si="4">C25*D25</f>
        <v>222362.89599999998</v>
      </c>
      <c r="F25" s="149">
        <f t="shared" ref="F25:F46" si="5">E25/$E$50*100</f>
        <v>6.4985178131177896</v>
      </c>
      <c r="G25" s="151">
        <f t="shared" si="0"/>
        <v>412.89183177049483</v>
      </c>
    </row>
    <row r="26" spans="1:7">
      <c r="A26" s="1217" t="s">
        <v>1268</v>
      </c>
      <c r="B26" s="148" t="s">
        <v>36</v>
      </c>
      <c r="C26" s="149">
        <f>8*46</f>
        <v>368</v>
      </c>
      <c r="D26" s="754">
        <f>'PREC marzo 2014'!E87</f>
        <v>617.25</v>
      </c>
      <c r="E26" s="754">
        <f t="shared" ref="E26" si="6">C26*D26</f>
        <v>227148</v>
      </c>
      <c r="F26" s="149">
        <f t="shared" ref="F26" si="7">E26/$E$50*100</f>
        <v>6.6383616636027254</v>
      </c>
      <c r="G26" s="151">
        <f t="shared" ref="G26" si="8">E26/E$3</f>
        <v>421.7769937795934</v>
      </c>
    </row>
    <row r="27" spans="1:7">
      <c r="A27" s="147" t="s">
        <v>1207</v>
      </c>
      <c r="B27" s="148" t="s">
        <v>36</v>
      </c>
      <c r="C27" s="149">
        <f>3/2.2</f>
        <v>1.3636363636363635</v>
      </c>
      <c r="D27" s="754">
        <f>+'PREC marzo 2014'!C25</f>
        <v>590920</v>
      </c>
      <c r="E27" s="754">
        <f t="shared" si="4"/>
        <v>805799.99999999988</v>
      </c>
      <c r="F27" s="149">
        <f t="shared" si="5"/>
        <v>23.549367938661469</v>
      </c>
      <c r="G27" s="151">
        <f t="shared" si="0"/>
        <v>1496.239903444434</v>
      </c>
    </row>
    <row r="28" spans="1:7">
      <c r="A28" s="147" t="s">
        <v>1266</v>
      </c>
      <c r="B28" s="148" t="s">
        <v>36</v>
      </c>
      <c r="C28" s="149">
        <v>35</v>
      </c>
      <c r="D28" s="754">
        <f>'PREC marzo 2014'!E198</f>
        <v>5386.666666666667</v>
      </c>
      <c r="E28" s="754">
        <f t="shared" ref="E28" si="9">C28*D28</f>
        <v>188533.33333333334</v>
      </c>
      <c r="F28" s="149">
        <f t="shared" ref="F28:F30" si="10">E28/$E$50*100</f>
        <v>5.5098545983730167</v>
      </c>
      <c r="G28" s="151">
        <f t="shared" ref="G28:G31" si="11">E28/E$3</f>
        <v>350.07582087704645</v>
      </c>
    </row>
    <row r="29" spans="1:7">
      <c r="A29" s="123" t="s">
        <v>1237</v>
      </c>
      <c r="B29" s="1217" t="s">
        <v>9</v>
      </c>
      <c r="C29" s="279"/>
      <c r="D29" s="1228"/>
      <c r="E29" s="1229" t="s">
        <v>9</v>
      </c>
      <c r="F29" s="1230" t="s">
        <v>9</v>
      </c>
      <c r="G29" s="151" t="s">
        <v>9</v>
      </c>
    </row>
    <row r="30" spans="1:7">
      <c r="A30" s="1217" t="s">
        <v>1265</v>
      </c>
      <c r="B30" s="239" t="s">
        <v>36</v>
      </c>
      <c r="C30" s="1231">
        <v>1.5</v>
      </c>
      <c r="D30" s="279">
        <f>'PREC marzo 2014'!E163</f>
        <v>31296</v>
      </c>
      <c r="E30" s="279">
        <f t="shared" ref="E30" si="12">+D30*C30</f>
        <v>46944</v>
      </c>
      <c r="F30" s="149">
        <f t="shared" si="10"/>
        <v>1.3719304151309557</v>
      </c>
      <c r="G30" s="151">
        <f t="shared" si="11"/>
        <v>87.167393928140385</v>
      </c>
    </row>
    <row r="31" spans="1:7">
      <c r="A31" s="147" t="s">
        <v>1206</v>
      </c>
      <c r="B31" s="148" t="s">
        <v>38</v>
      </c>
      <c r="C31" s="149">
        <v>0.5</v>
      </c>
      <c r="D31" s="754">
        <f>'PREC marzo 2014'!E186</f>
        <v>32000</v>
      </c>
      <c r="E31" s="754">
        <f t="shared" si="4"/>
        <v>16000</v>
      </c>
      <c r="F31" s="149">
        <f t="shared" si="5"/>
        <v>0.4675972785040749</v>
      </c>
      <c r="G31" s="151">
        <f t="shared" si="11"/>
        <v>29.70940488348343</v>
      </c>
    </row>
    <row r="32" spans="1:7">
      <c r="A32" s="1125" t="s">
        <v>958</v>
      </c>
      <c r="B32" s="148" t="s">
        <v>38</v>
      </c>
      <c r="C32" s="149">
        <v>1</v>
      </c>
      <c r="D32" s="754">
        <f>+'PREC marzo 2014'!E212</f>
        <v>11203</v>
      </c>
      <c r="E32" s="754">
        <f>C32*D32</f>
        <v>11203</v>
      </c>
      <c r="F32" s="149">
        <f t="shared" si="5"/>
        <v>0.32740576944257194</v>
      </c>
      <c r="G32" s="151">
        <f>E32/E$3</f>
        <v>20.802153931854054</v>
      </c>
    </row>
    <row r="33" spans="1:7">
      <c r="A33" s="175" t="s">
        <v>1257</v>
      </c>
      <c r="B33" s="1217" t="s">
        <v>1252</v>
      </c>
      <c r="C33" s="149">
        <v>1</v>
      </c>
      <c r="D33" s="279">
        <f>'PREC marzo 2014'!C159</f>
        <v>4487</v>
      </c>
      <c r="E33" s="754">
        <f>C33*D33</f>
        <v>4487</v>
      </c>
      <c r="F33" s="149">
        <f t="shared" ref="F33" si="13">E33/$E$50*100</f>
        <v>0.1311318117904865</v>
      </c>
      <c r="G33" s="151">
        <f>E33/E$3</f>
        <v>8.331631232011885</v>
      </c>
    </row>
    <row r="34" spans="1:7">
      <c r="A34" s="147" t="s">
        <v>1260</v>
      </c>
      <c r="B34" s="148" t="s">
        <v>36</v>
      </c>
      <c r="C34" s="149">
        <v>16</v>
      </c>
      <c r="D34" s="754">
        <f>+'PREC marzo 2014'!E162</f>
        <v>4533.333333333333</v>
      </c>
      <c r="E34" s="754">
        <f t="shared" si="4"/>
        <v>72533.333333333328</v>
      </c>
      <c r="F34" s="149">
        <f t="shared" si="5"/>
        <v>2.1197743292184725</v>
      </c>
      <c r="G34" s="151">
        <f t="shared" si="0"/>
        <v>134.68263547179154</v>
      </c>
    </row>
    <row r="35" spans="1:7">
      <c r="A35" s="1125" t="s">
        <v>1203</v>
      </c>
      <c r="B35" s="148" t="s">
        <v>36</v>
      </c>
      <c r="C35" s="149">
        <v>8</v>
      </c>
      <c r="D35" s="754">
        <f>'PREC marzo 2014'!E142</f>
        <v>6816</v>
      </c>
      <c r="E35" s="754">
        <f t="shared" si="4"/>
        <v>54528</v>
      </c>
      <c r="F35" s="149">
        <f t="shared" si="5"/>
        <v>1.5935715251418872</v>
      </c>
      <c r="G35" s="151">
        <f>E35/E$3</f>
        <v>101.24965184291153</v>
      </c>
    </row>
    <row r="36" spans="1:7">
      <c r="A36" s="1125" t="s">
        <v>905</v>
      </c>
      <c r="B36" s="148" t="s">
        <v>36</v>
      </c>
      <c r="C36" s="149">
        <v>12</v>
      </c>
      <c r="D36" s="754">
        <f>'PREC marzo 2014'!E155</f>
        <v>17252</v>
      </c>
      <c r="E36" s="754">
        <f t="shared" si="4"/>
        <v>207024</v>
      </c>
      <c r="F36" s="149">
        <f t="shared" si="5"/>
        <v>6.0502411865642252</v>
      </c>
      <c r="G36" s="151">
        <f t="shared" si="0"/>
        <v>384.40998978739208</v>
      </c>
    </row>
    <row r="37" spans="1:7">
      <c r="A37" s="1125" t="s">
        <v>915</v>
      </c>
      <c r="B37" s="148" t="s">
        <v>38</v>
      </c>
      <c r="C37" s="149">
        <v>1</v>
      </c>
      <c r="D37" s="754">
        <f>'PREC marzo 2014'!E153</f>
        <v>18066</v>
      </c>
      <c r="E37" s="754">
        <f>C37*D37</f>
        <v>18066</v>
      </c>
      <c r="F37" s="149">
        <f t="shared" si="5"/>
        <v>0.52797577709091359</v>
      </c>
      <c r="G37" s="151">
        <f>E37/E$3</f>
        <v>33.545631789063229</v>
      </c>
    </row>
    <row r="38" spans="1:7">
      <c r="A38" s="148" t="s">
        <v>1261</v>
      </c>
      <c r="B38" s="148"/>
      <c r="C38" s="149"/>
      <c r="D38" s="754"/>
      <c r="E38" s="754" t="s">
        <v>9</v>
      </c>
      <c r="F38" s="149" t="s">
        <v>9</v>
      </c>
      <c r="G38" s="151" t="s">
        <v>9</v>
      </c>
    </row>
    <row r="39" spans="1:7">
      <c r="A39" s="175" t="s">
        <v>1264</v>
      </c>
      <c r="B39" s="239" t="s">
        <v>38</v>
      </c>
      <c r="C39" s="149">
        <v>1</v>
      </c>
      <c r="D39" s="754">
        <f>'PREC marzo 2014'!E147</f>
        <v>6340</v>
      </c>
      <c r="E39" s="754">
        <f t="shared" ref="E39" si="14">C39*D39</f>
        <v>6340</v>
      </c>
      <c r="F39" s="149">
        <f t="shared" ref="F39" si="15">E39/$E$50*100</f>
        <v>0.18528542160723968</v>
      </c>
      <c r="G39" s="151">
        <f t="shared" ref="G39" si="16">E39/E$3</f>
        <v>11.772351685080309</v>
      </c>
    </row>
    <row r="40" spans="1:7">
      <c r="A40" s="1217" t="s">
        <v>1259</v>
      </c>
      <c r="B40" s="239" t="s">
        <v>38</v>
      </c>
      <c r="C40" s="239">
        <v>4</v>
      </c>
      <c r="D40" s="279">
        <f>+'PREC marzo 2014'!E137</f>
        <v>2752</v>
      </c>
      <c r="E40" s="754">
        <f t="shared" si="4"/>
        <v>11008</v>
      </c>
      <c r="F40" s="149">
        <f t="shared" si="5"/>
        <v>0.32170692761080355</v>
      </c>
      <c r="G40" s="151">
        <f t="shared" si="0"/>
        <v>20.440070559836599</v>
      </c>
    </row>
    <row r="41" spans="1:7">
      <c r="A41" s="1226" t="s">
        <v>329</v>
      </c>
      <c r="B41" s="239" t="s">
        <v>38</v>
      </c>
      <c r="C41" s="239">
        <v>1</v>
      </c>
      <c r="D41" s="279">
        <f>'PREC marzo 2014'!E107</f>
        <v>20464.7</v>
      </c>
      <c r="E41" s="754">
        <f t="shared" si="4"/>
        <v>20464.7</v>
      </c>
      <c r="F41" s="149">
        <f t="shared" si="5"/>
        <v>0.59807737658764637</v>
      </c>
      <c r="G41" s="151">
        <f t="shared" si="0"/>
        <v>37.999628632438963</v>
      </c>
    </row>
    <row r="42" spans="1:7">
      <c r="A42" s="1226" t="s">
        <v>274</v>
      </c>
      <c r="B42" s="1227" t="s">
        <v>36</v>
      </c>
      <c r="C42" s="239">
        <v>2</v>
      </c>
      <c r="D42" s="279">
        <f>'PREC marzo 2014'!E115</f>
        <v>4224</v>
      </c>
      <c r="E42" s="754">
        <f t="shared" ref="E42" si="17">C42*D42</f>
        <v>8448</v>
      </c>
      <c r="F42" s="149">
        <f t="shared" ref="F42" si="18">E42/$E$50*100</f>
        <v>0.24689136305015158</v>
      </c>
      <c r="G42" s="151">
        <f t="shared" ref="G42" si="19">E42/E$3</f>
        <v>15.686565778479251</v>
      </c>
    </row>
    <row r="43" spans="1:7">
      <c r="A43" s="319" t="s">
        <v>113</v>
      </c>
      <c r="B43" s="239" t="s">
        <v>38</v>
      </c>
      <c r="C43" s="239">
        <v>1</v>
      </c>
      <c r="D43" s="279">
        <f>+'PREC marzo 2014'!E107</f>
        <v>20464.7</v>
      </c>
      <c r="E43" s="754">
        <f>C43*D43</f>
        <v>20464.7</v>
      </c>
      <c r="F43" s="149">
        <f t="shared" si="5"/>
        <v>0.59807737658764637</v>
      </c>
      <c r="G43" s="151">
        <f>E43/E$3</f>
        <v>37.999628632438963</v>
      </c>
    </row>
    <row r="44" spans="1:7">
      <c r="A44" s="147" t="s">
        <v>1204</v>
      </c>
      <c r="B44" s="148" t="s">
        <v>38</v>
      </c>
      <c r="C44" s="149">
        <v>2</v>
      </c>
      <c r="D44" s="754">
        <f>'PREC marzo 2014'!E236</f>
        <v>5716</v>
      </c>
      <c r="E44" s="754">
        <f>C44*D44</f>
        <v>11432</v>
      </c>
      <c r="F44" s="149">
        <f t="shared" si="5"/>
        <v>0.33409825549116151</v>
      </c>
      <c r="G44" s="151">
        <f t="shared" si="0"/>
        <v>21.227369789248911</v>
      </c>
    </row>
    <row r="45" spans="1:7" ht="13.5" thickBot="1">
      <c r="A45" s="147" t="s">
        <v>1205</v>
      </c>
      <c r="B45" s="148" t="s">
        <v>36</v>
      </c>
      <c r="C45" s="149">
        <v>3</v>
      </c>
      <c r="D45" s="754">
        <f>'PREC marzo 2014'!E216</f>
        <v>14000</v>
      </c>
      <c r="E45" s="754">
        <f>C45*D45</f>
        <v>42000</v>
      </c>
      <c r="F45" s="149">
        <f t="shared" si="5"/>
        <v>1.2274428560731967</v>
      </c>
      <c r="G45" s="151">
        <f t="shared" si="0"/>
        <v>77.987187819143998</v>
      </c>
    </row>
    <row r="46" spans="1:7" ht="13.5" thickBot="1">
      <c r="A46" s="164" t="s">
        <v>156</v>
      </c>
      <c r="B46" s="165" t="s">
        <v>9</v>
      </c>
      <c r="C46" s="165" t="s">
        <v>9</v>
      </c>
      <c r="D46" s="166" t="s">
        <v>9</v>
      </c>
      <c r="E46" s="167">
        <f>SUM(E25:E45)</f>
        <v>1994786.9626666661</v>
      </c>
      <c r="F46" s="168">
        <f t="shared" si="5"/>
        <v>58.297309683646425</v>
      </c>
      <c r="G46" s="168">
        <f t="shared" si="0"/>
        <v>3703.9958456348832</v>
      </c>
    </row>
    <row r="47" spans="1:7">
      <c r="A47" s="147" t="s">
        <v>66</v>
      </c>
      <c r="B47" s="148"/>
      <c r="C47" s="148"/>
      <c r="D47" s="157"/>
      <c r="E47" s="150"/>
      <c r="F47" s="149"/>
      <c r="G47" s="151">
        <f t="shared" si="0"/>
        <v>0</v>
      </c>
    </row>
    <row r="48" spans="1:7">
      <c r="A48" s="147" t="s">
        <v>215</v>
      </c>
      <c r="B48" s="148"/>
      <c r="C48" s="148"/>
      <c r="D48" s="157"/>
      <c r="E48" s="169">
        <v>60000</v>
      </c>
      <c r="F48" s="149">
        <f>E48/$E$50*100</f>
        <v>1.7534897943902807</v>
      </c>
      <c r="G48" s="151">
        <f t="shared" si="0"/>
        <v>111.41026831306286</v>
      </c>
    </row>
    <row r="49" spans="1:7">
      <c r="A49" s="155" t="s">
        <v>216</v>
      </c>
      <c r="B49" s="143"/>
      <c r="C49" s="143"/>
      <c r="D49" s="143"/>
      <c r="E49" s="170">
        <v>50000</v>
      </c>
      <c r="F49" s="149">
        <f>E49/$E$50*100</f>
        <v>1.461241495325234</v>
      </c>
      <c r="G49" s="151">
        <f t="shared" si="0"/>
        <v>92.841890260885719</v>
      </c>
    </row>
    <row r="50" spans="1:7" ht="13.5" thickBot="1">
      <c r="A50" s="458" t="s">
        <v>217</v>
      </c>
      <c r="B50" s="459"/>
      <c r="C50" s="460"/>
      <c r="D50" s="460"/>
      <c r="E50" s="461">
        <f>+E46+E23+E12+E48+E49</f>
        <v>3421747.8876666659</v>
      </c>
      <c r="F50" s="462">
        <f>+F46+F23+F12+F48+F49</f>
        <v>100.00000000000001</v>
      </c>
      <c r="G50" s="1009">
        <f t="shared" si="0"/>
        <v>6353.6308377433224</v>
      </c>
    </row>
    <row r="51" spans="1:7" ht="13.5" thickBot="1">
      <c r="A51" s="171"/>
      <c r="B51" s="171"/>
      <c r="C51" s="172"/>
      <c r="D51" s="172"/>
      <c r="E51" s="172"/>
      <c r="F51" s="172"/>
      <c r="G51" s="173" t="s">
        <v>9</v>
      </c>
    </row>
    <row r="52" spans="1:7">
      <c r="A52" s="463" t="s">
        <v>218</v>
      </c>
      <c r="B52" s="464">
        <v>35000</v>
      </c>
      <c r="C52" s="465" t="s">
        <v>158</v>
      </c>
      <c r="D52" s="1029"/>
    </row>
    <row r="53" spans="1:7" ht="13.5" thickBot="1">
      <c r="A53" s="466" t="s">
        <v>646</v>
      </c>
      <c r="B53" s="467">
        <f>+E50/B52</f>
        <v>97.764225361904735</v>
      </c>
      <c r="C53" s="468" t="s">
        <v>74</v>
      </c>
      <c r="D53" s="1030"/>
    </row>
    <row r="54" spans="1:7" ht="13.5" thickBot="1">
      <c r="A54" s="1019" t="str">
        <f>'papa 1'!D64</f>
        <v>Precio finca mayo 2015</v>
      </c>
      <c r="B54" s="1038">
        <f>resumen!F6</f>
        <v>304</v>
      </c>
      <c r="C54" s="1039" t="s">
        <v>74</v>
      </c>
      <c r="D54" s="1040"/>
      <c r="E54" s="134"/>
      <c r="F54" s="134"/>
      <c r="G54" s="134"/>
    </row>
    <row r="55" spans="1:7">
      <c r="A55" s="229" t="s">
        <v>653</v>
      </c>
      <c r="B55" s="174"/>
      <c r="C55" s="134"/>
      <c r="D55" s="134"/>
      <c r="E55" s="134"/>
      <c r="F55" s="134"/>
      <c r="G55" s="134"/>
    </row>
    <row r="58" spans="1:7">
      <c r="B58" s="975" t="s">
        <v>9</v>
      </c>
      <c r="C58" s="875" t="s">
        <v>9</v>
      </c>
    </row>
  </sheetData>
  <phoneticPr fontId="34" type="noConversion"/>
  <pageMargins left="0.98425196850393704" right="0.59055118110236227" top="0.78740157480314965" bottom="0.78740157480314965" header="0.53" footer="0.51181102362204722"/>
  <pageSetup scale="90" orientation="portrait" horizontalDpi="120" verticalDpi="144" r:id="rId1"/>
  <headerFooter alignWithMargins="0"/>
</worksheet>
</file>

<file path=xl/worksheets/sheet7.xml><?xml version="1.0" encoding="utf-8"?>
<worksheet xmlns="http://schemas.openxmlformats.org/spreadsheetml/2006/main" xmlns:r="http://schemas.openxmlformats.org/officeDocument/2006/relationships">
  <dimension ref="A1:L85"/>
  <sheetViews>
    <sheetView topLeftCell="A13" workbookViewId="0">
      <selection sqref="A1:G51"/>
    </sheetView>
  </sheetViews>
  <sheetFormatPr baseColWidth="10" defaultRowHeight="12.75"/>
  <cols>
    <col min="1" max="1" width="27.28515625" customWidth="1"/>
    <col min="2" max="2" width="14.28515625" customWidth="1"/>
    <col min="3" max="3" width="10.85546875" customWidth="1"/>
    <col min="4" max="4" width="11.140625" customWidth="1"/>
    <col min="5" max="5" width="10.85546875" customWidth="1"/>
    <col min="6" max="6" width="9.42578125" customWidth="1"/>
    <col min="7" max="7" width="8.7109375" customWidth="1"/>
    <col min="10" max="10" width="24.7109375" bestFit="1" customWidth="1"/>
    <col min="12" max="12" width="15.28515625" bestFit="1" customWidth="1"/>
  </cols>
  <sheetData>
    <row r="1" spans="1:7">
      <c r="A1" s="2" t="s">
        <v>162</v>
      </c>
    </row>
    <row r="2" spans="1:7">
      <c r="A2" s="2" t="s">
        <v>163</v>
      </c>
      <c r="D2" s="127" t="s">
        <v>164</v>
      </c>
      <c r="E2" s="132">
        <f>+'PREC marzo 2014'!B4</f>
        <v>538.54999999999995</v>
      </c>
      <c r="F2" s="128" t="s">
        <v>8</v>
      </c>
    </row>
    <row r="3" spans="1:7">
      <c r="A3" s="94" t="s">
        <v>6</v>
      </c>
      <c r="D3" s="129" t="s">
        <v>165</v>
      </c>
      <c r="E3" s="130">
        <f>+'PREC marzo 2014'!E11</f>
        <v>985.47749999999996</v>
      </c>
      <c r="F3" s="131" t="s">
        <v>8</v>
      </c>
    </row>
    <row r="4" spans="1:7" ht="13.5" thickBot="1">
      <c r="A4" s="53" t="s">
        <v>188</v>
      </c>
      <c r="B4" s="54">
        <f>+'PREC marzo 2014'!B3</f>
        <v>42143</v>
      </c>
    </row>
    <row r="5" spans="1:7">
      <c r="A5" s="501" t="s">
        <v>10</v>
      </c>
      <c r="B5" s="501" t="s">
        <v>11</v>
      </c>
      <c r="C5" s="501" t="s">
        <v>12</v>
      </c>
      <c r="D5" s="501" t="s">
        <v>13</v>
      </c>
      <c r="E5" s="501" t="s">
        <v>13</v>
      </c>
      <c r="F5" s="501" t="s">
        <v>13</v>
      </c>
      <c r="G5" s="501" t="s">
        <v>14</v>
      </c>
    </row>
    <row r="6" spans="1:7">
      <c r="A6" s="502"/>
      <c r="B6" s="502"/>
      <c r="C6" s="502"/>
      <c r="D6" s="502" t="s">
        <v>15</v>
      </c>
      <c r="E6" s="502" t="s">
        <v>16</v>
      </c>
      <c r="F6" s="502" t="s">
        <v>16</v>
      </c>
      <c r="G6" s="502" t="s">
        <v>17</v>
      </c>
    </row>
    <row r="7" spans="1:7" ht="13.5" thickBot="1">
      <c r="A7" s="503"/>
      <c r="B7" s="503"/>
      <c r="C7" s="503"/>
      <c r="D7" s="503"/>
      <c r="E7" s="503" t="s">
        <v>18</v>
      </c>
      <c r="F7" s="503" t="s">
        <v>19</v>
      </c>
      <c r="G7" s="503"/>
    </row>
    <row r="8" spans="1:7">
      <c r="A8" s="64" t="s">
        <v>134</v>
      </c>
      <c r="B8" s="65"/>
      <c r="C8" s="65"/>
      <c r="D8" s="65"/>
      <c r="E8" s="65"/>
      <c r="F8" s="65"/>
      <c r="G8" s="65"/>
    </row>
    <row r="9" spans="1:7">
      <c r="A9" s="3" t="s">
        <v>135</v>
      </c>
      <c r="B9" s="3"/>
      <c r="C9" s="3"/>
      <c r="D9" s="3"/>
      <c r="E9" s="3"/>
      <c r="F9" s="3"/>
      <c r="G9" s="3"/>
    </row>
    <row r="10" spans="1:7">
      <c r="A10" s="4" t="s">
        <v>136</v>
      </c>
      <c r="B10" s="3" t="s">
        <v>166</v>
      </c>
      <c r="C10" s="3">
        <v>4</v>
      </c>
      <c r="D10" s="108">
        <f>+'PREC marzo 2014'!C7</f>
        <v>18000</v>
      </c>
      <c r="E10" s="108">
        <f>+D10*C10</f>
        <v>72000</v>
      </c>
      <c r="F10" s="95">
        <f>+E10/$E$2</f>
        <v>133.69232197567544</v>
      </c>
      <c r="G10" s="96">
        <f>+E10/$E$47*100</f>
        <v>3.6717676420985423</v>
      </c>
    </row>
    <row r="11" spans="1:7">
      <c r="A11" s="4" t="s">
        <v>137</v>
      </c>
      <c r="B11" s="3" t="s">
        <v>166</v>
      </c>
      <c r="C11" s="3">
        <v>4</v>
      </c>
      <c r="D11" s="108">
        <f>+D10</f>
        <v>18000</v>
      </c>
      <c r="E11" s="108">
        <f>+D11*C11</f>
        <v>72000</v>
      </c>
      <c r="F11" s="95">
        <f>+E11/$E$2</f>
        <v>133.69232197567544</v>
      </c>
      <c r="G11" s="96">
        <f>+E11/$E$47*100</f>
        <v>3.6717676420985423</v>
      </c>
    </row>
    <row r="12" spans="1:7">
      <c r="A12" s="6" t="s">
        <v>9</v>
      </c>
      <c r="B12" s="3" t="s">
        <v>9</v>
      </c>
      <c r="C12" s="3" t="s">
        <v>9</v>
      </c>
      <c r="D12" s="108" t="s">
        <v>9</v>
      </c>
      <c r="E12" s="108" t="s">
        <v>9</v>
      </c>
      <c r="F12" s="95" t="s">
        <v>9</v>
      </c>
      <c r="G12" s="96" t="s">
        <v>9</v>
      </c>
    </row>
    <row r="13" spans="1:7" ht="13.5" thickBot="1">
      <c r="A13" s="9" t="s">
        <v>140</v>
      </c>
      <c r="B13" s="97"/>
      <c r="C13" s="97"/>
      <c r="D13" s="758"/>
      <c r="E13" s="759">
        <f>SUM(E10:E12)</f>
        <v>144000</v>
      </c>
      <c r="F13" s="98">
        <f>+E13/$E$2</f>
        <v>267.38464395135088</v>
      </c>
      <c r="G13" s="98">
        <f>+E13/$E$47*100</f>
        <v>7.3435352841970847</v>
      </c>
    </row>
    <row r="14" spans="1:7" ht="14.25" thickTop="1" thickBot="1">
      <c r="A14" s="102" t="s">
        <v>450</v>
      </c>
      <c r="B14" s="3"/>
      <c r="C14" s="3"/>
      <c r="D14" s="108"/>
      <c r="E14" s="108"/>
      <c r="F14" s="3"/>
      <c r="G14" s="3"/>
    </row>
    <row r="15" spans="1:7" ht="13.5" thickTop="1">
      <c r="A15" s="5" t="s">
        <v>167</v>
      </c>
      <c r="B15" s="3"/>
      <c r="C15" s="3"/>
      <c r="D15" s="108"/>
      <c r="E15" s="108" t="s">
        <v>9</v>
      </c>
      <c r="F15" s="3" t="s">
        <v>9</v>
      </c>
      <c r="G15" s="96" t="s">
        <v>9</v>
      </c>
    </row>
    <row r="16" spans="1:7">
      <c r="A16" s="12" t="s">
        <v>205</v>
      </c>
      <c r="B16" s="3" t="s">
        <v>168</v>
      </c>
      <c r="C16" s="3">
        <v>48</v>
      </c>
      <c r="D16" s="108">
        <f t="shared" ref="D16:D22" si="0">+$E$3</f>
        <v>985.47749999999996</v>
      </c>
      <c r="E16" s="108">
        <f t="shared" ref="E16:E21" si="1">+D16*C16</f>
        <v>47302.92</v>
      </c>
      <c r="F16" s="95">
        <f t="shared" ref="F16:F22" si="2">+E16/$E$2</f>
        <v>87.833850153189118</v>
      </c>
      <c r="G16" s="96">
        <f t="shared" ref="G16:G23" si="3">+E16/$E$47*100</f>
        <v>2.412296264344111</v>
      </c>
    </row>
    <row r="17" spans="1:12">
      <c r="A17" s="3" t="s">
        <v>766</v>
      </c>
      <c r="B17" s="3" t="s">
        <v>168</v>
      </c>
      <c r="C17" s="3">
        <v>64</v>
      </c>
      <c r="D17" s="108">
        <f t="shared" si="0"/>
        <v>985.47749999999996</v>
      </c>
      <c r="E17" s="108">
        <f t="shared" si="1"/>
        <v>63070.559999999998</v>
      </c>
      <c r="F17" s="95">
        <f t="shared" si="2"/>
        <v>117.11180020425216</v>
      </c>
      <c r="G17" s="96">
        <f t="shared" si="3"/>
        <v>3.2163950191254815</v>
      </c>
    </row>
    <row r="18" spans="1:12">
      <c r="A18" s="3" t="s">
        <v>148</v>
      </c>
      <c r="B18" s="3" t="s">
        <v>168</v>
      </c>
      <c r="C18" s="3">
        <v>24</v>
      </c>
      <c r="D18" s="108">
        <f t="shared" si="0"/>
        <v>985.47749999999996</v>
      </c>
      <c r="E18" s="108">
        <f t="shared" si="1"/>
        <v>23651.46</v>
      </c>
      <c r="F18" s="95">
        <f t="shared" si="2"/>
        <v>43.916925076594559</v>
      </c>
      <c r="G18" s="96">
        <f t="shared" si="3"/>
        <v>1.2061481321720555</v>
      </c>
    </row>
    <row r="19" spans="1:12">
      <c r="A19" s="3" t="s">
        <v>176</v>
      </c>
      <c r="B19" s="3" t="s">
        <v>168</v>
      </c>
      <c r="C19" s="3">
        <v>12</v>
      </c>
      <c r="D19" s="108">
        <f t="shared" si="0"/>
        <v>985.47749999999996</v>
      </c>
      <c r="E19" s="108">
        <f t="shared" si="1"/>
        <v>11825.73</v>
      </c>
      <c r="F19" s="95">
        <f t="shared" si="2"/>
        <v>21.95846253829728</v>
      </c>
      <c r="G19" s="96">
        <f t="shared" si="3"/>
        <v>0.60307406608602776</v>
      </c>
      <c r="L19" s="1235"/>
    </row>
    <row r="20" spans="1:12">
      <c r="A20" s="3" t="s">
        <v>177</v>
      </c>
      <c r="B20" s="3" t="s">
        <v>168</v>
      </c>
      <c r="C20" s="3">
        <v>32</v>
      </c>
      <c r="D20" s="108">
        <f t="shared" si="0"/>
        <v>985.47749999999996</v>
      </c>
      <c r="E20" s="108">
        <f t="shared" si="1"/>
        <v>31535.279999999999</v>
      </c>
      <c r="F20" s="95">
        <f t="shared" si="2"/>
        <v>58.555900102126081</v>
      </c>
      <c r="G20" s="96">
        <f t="shared" si="3"/>
        <v>1.6081975095627408</v>
      </c>
    </row>
    <row r="21" spans="1:12">
      <c r="A21" s="3" t="s">
        <v>170</v>
      </c>
      <c r="B21" s="3" t="s">
        <v>168</v>
      </c>
      <c r="C21" s="3">
        <v>192</v>
      </c>
      <c r="D21" s="108">
        <f t="shared" si="0"/>
        <v>985.47749999999996</v>
      </c>
      <c r="E21" s="108">
        <f t="shared" si="1"/>
        <v>189211.68</v>
      </c>
      <c r="F21" s="95">
        <f t="shared" si="2"/>
        <v>351.33540061275647</v>
      </c>
      <c r="G21" s="96">
        <f t="shared" si="3"/>
        <v>9.6491850573764442</v>
      </c>
      <c r="J21" s="1244" t="s">
        <v>9</v>
      </c>
    </row>
    <row r="22" spans="1:12">
      <c r="A22" s="3" t="s">
        <v>138</v>
      </c>
      <c r="B22" s="3" t="s">
        <v>168</v>
      </c>
      <c r="C22" s="3">
        <f>25*8</f>
        <v>200</v>
      </c>
      <c r="D22" s="108">
        <f t="shared" si="0"/>
        <v>985.47749999999996</v>
      </c>
      <c r="E22" s="108">
        <f>+D22*C22</f>
        <v>197095.5</v>
      </c>
      <c r="F22" s="95">
        <f t="shared" si="2"/>
        <v>365.97437563828805</v>
      </c>
      <c r="G22" s="96">
        <f t="shared" si="3"/>
        <v>10.05123443476713</v>
      </c>
    </row>
    <row r="23" spans="1:12">
      <c r="A23" s="62" t="s">
        <v>152</v>
      </c>
      <c r="B23" s="8" t="s">
        <v>168</v>
      </c>
      <c r="C23" s="62">
        <f>SUM(C16:C22)</f>
        <v>572</v>
      </c>
      <c r="D23" s="799">
        <f>SUM(D16:D22)</f>
        <v>6898.3424999999997</v>
      </c>
      <c r="E23" s="798">
        <f>SUM(E16:E22)</f>
        <v>563693.13</v>
      </c>
      <c r="F23" s="800">
        <f>SUM(F16:F22)</f>
        <v>1046.6867143255035</v>
      </c>
      <c r="G23" s="790">
        <f t="shared" si="3"/>
        <v>28.74653048343399</v>
      </c>
    </row>
    <row r="24" spans="1:12">
      <c r="A24" s="159" t="s">
        <v>713</v>
      </c>
      <c r="B24" s="159" t="s">
        <v>717</v>
      </c>
      <c r="C24" s="159"/>
      <c r="D24" s="757"/>
      <c r="E24" s="756">
        <f>'PREC marzo 2014'!E10</f>
        <v>168000</v>
      </c>
      <c r="F24" s="161">
        <f>+F23*0.24</f>
        <v>251.20481143812083</v>
      </c>
      <c r="G24" s="162">
        <f>+G23*0.24</f>
        <v>6.8991673160241573</v>
      </c>
    </row>
    <row r="25" spans="1:12" ht="13.5" thickBot="1">
      <c r="A25" s="9" t="s">
        <v>171</v>
      </c>
      <c r="B25" s="97"/>
      <c r="C25" s="97"/>
      <c r="D25" s="758"/>
      <c r="E25" s="759">
        <f>+E24+E23</f>
        <v>731693.13</v>
      </c>
      <c r="F25" s="103">
        <f>+F24+F23</f>
        <v>1297.8915257636245</v>
      </c>
      <c r="G25" s="99">
        <f>+E25/$E$47*100</f>
        <v>37.31398831499726</v>
      </c>
    </row>
    <row r="26" spans="1:12">
      <c r="A26" s="64" t="s">
        <v>410</v>
      </c>
      <c r="B26" s="65"/>
      <c r="C26" s="65"/>
      <c r="D26" s="760" t="s">
        <v>9</v>
      </c>
      <c r="E26" s="760" t="s">
        <v>9</v>
      </c>
      <c r="F26" s="65" t="s">
        <v>9</v>
      </c>
      <c r="G26" s="104" t="s">
        <v>9</v>
      </c>
    </row>
    <row r="27" spans="1:12">
      <c r="A27" s="12" t="s">
        <v>1269</v>
      </c>
      <c r="B27" s="3" t="s">
        <v>36</v>
      </c>
      <c r="C27" s="108">
        <f>8*46</f>
        <v>368</v>
      </c>
      <c r="D27" s="108">
        <f>'PREC marzo 2014'!E69</f>
        <v>342.66666666666669</v>
      </c>
      <c r="E27" s="108">
        <f t="shared" ref="E27:E43" si="4">+D27*C27</f>
        <v>126101.33333333334</v>
      </c>
      <c r="F27" s="95">
        <f t="shared" ref="F27:F45" si="5">+E27/$E$2</f>
        <v>234.14972302169409</v>
      </c>
      <c r="G27" s="96">
        <f>+E27/$E$47*100</f>
        <v>6.4307610466502183</v>
      </c>
    </row>
    <row r="28" spans="1:12">
      <c r="A28" s="12" t="s">
        <v>1270</v>
      </c>
      <c r="B28" s="3" t="s">
        <v>36</v>
      </c>
      <c r="C28" s="108">
        <f>8*46</f>
        <v>368</v>
      </c>
      <c r="D28" s="108">
        <f>'PREC marzo 2014'!C80/46</f>
        <v>433.04347826086956</v>
      </c>
      <c r="E28" s="108">
        <f t="shared" ref="E28" si="6">+D28*C28</f>
        <v>159360</v>
      </c>
      <c r="F28" s="95">
        <f t="shared" ref="F28" si="7">+E28/$E$2</f>
        <v>295.90567263949498</v>
      </c>
      <c r="G28" s="96">
        <f t="shared" ref="G28" si="8">+E28/$E$47*100</f>
        <v>8.1268457145114414</v>
      </c>
    </row>
    <row r="29" spans="1:12">
      <c r="A29" s="12" t="s">
        <v>1280</v>
      </c>
      <c r="B29" s="12" t="s">
        <v>1281</v>
      </c>
      <c r="C29" s="108">
        <v>35000</v>
      </c>
      <c r="D29" s="108">
        <f>50000/25000</f>
        <v>2</v>
      </c>
      <c r="E29" s="108">
        <f t="shared" ref="E29" si="9">+D29*C29</f>
        <v>70000</v>
      </c>
      <c r="F29" s="95">
        <f t="shared" ref="F29" si="10">+E29/$E$2</f>
        <v>129.97864636524</v>
      </c>
      <c r="G29" s="96">
        <f t="shared" ref="G29" si="11">+E29/$E$47*100</f>
        <v>3.5697740964846942</v>
      </c>
    </row>
    <row r="30" spans="1:12">
      <c r="A30" s="12" t="s">
        <v>1282</v>
      </c>
      <c r="B30" s="12" t="s">
        <v>1283</v>
      </c>
      <c r="C30" s="108">
        <v>140</v>
      </c>
      <c r="D30" s="108">
        <v>1500</v>
      </c>
      <c r="E30" s="108">
        <f>+D30*C30</f>
        <v>210000</v>
      </c>
      <c r="F30" s="95">
        <f>+E30/$E$2</f>
        <v>389.93593909572002</v>
      </c>
      <c r="G30" s="96">
        <f t="shared" ref="G30:G46" si="12">+E30/$E$47*100</f>
        <v>10.709322289454084</v>
      </c>
    </row>
    <row r="31" spans="1:12">
      <c r="A31" s="3" t="s">
        <v>114</v>
      </c>
      <c r="B31" s="3" t="s">
        <v>38</v>
      </c>
      <c r="C31" s="3">
        <v>4</v>
      </c>
      <c r="D31" s="108">
        <f>+'PREC marzo 2014'!E105</f>
        <v>4339</v>
      </c>
      <c r="E31" s="108">
        <f t="shared" si="4"/>
        <v>17356</v>
      </c>
      <c r="F31" s="95">
        <f t="shared" si="5"/>
        <v>32.227276947358654</v>
      </c>
      <c r="G31" s="96">
        <f t="shared" si="12"/>
        <v>0.88509998883697649</v>
      </c>
    </row>
    <row r="32" spans="1:12">
      <c r="A32" s="12" t="s">
        <v>1291</v>
      </c>
      <c r="B32" s="12" t="s">
        <v>36</v>
      </c>
      <c r="C32" s="3">
        <v>0.2</v>
      </c>
      <c r="D32" s="108">
        <f>'PREC marzo 2014'!E181</f>
        <v>7233</v>
      </c>
      <c r="E32" s="108">
        <f t="shared" ref="E32" si="13">+D32*C32</f>
        <v>1446.6000000000001</v>
      </c>
      <c r="F32" s="95">
        <f t="shared" ref="F32" si="14">+E32/$E$2</f>
        <v>2.6861015690279459</v>
      </c>
      <c r="G32" s="96">
        <f t="shared" si="12"/>
        <v>7.377193154249656E-2</v>
      </c>
    </row>
    <row r="33" spans="1:7">
      <c r="A33" s="12" t="s">
        <v>1284</v>
      </c>
      <c r="B33" s="3" t="s">
        <v>36</v>
      </c>
      <c r="C33" s="3">
        <v>0.5</v>
      </c>
      <c r="D33" s="108">
        <f>'PREC marzo 2014'!E188</f>
        <v>35620</v>
      </c>
      <c r="E33" s="108">
        <f t="shared" si="4"/>
        <v>17810</v>
      </c>
      <c r="F33" s="95">
        <f t="shared" si="5"/>
        <v>33.070281310927491</v>
      </c>
      <c r="G33" s="96">
        <f t="shared" si="12"/>
        <v>0.90825252369132004</v>
      </c>
    </row>
    <row r="34" spans="1:7">
      <c r="A34" s="4" t="s">
        <v>127</v>
      </c>
      <c r="B34" s="3" t="s">
        <v>36</v>
      </c>
      <c r="C34" s="3">
        <v>1.5</v>
      </c>
      <c r="D34" s="108">
        <f>+'PREC marzo 2014'!E200</f>
        <v>20384</v>
      </c>
      <c r="E34" s="108">
        <f t="shared" si="4"/>
        <v>30576</v>
      </c>
      <c r="F34" s="95">
        <f t="shared" si="5"/>
        <v>56.774672732336832</v>
      </c>
      <c r="G34" s="96">
        <f t="shared" si="12"/>
        <v>1.5592773253445145</v>
      </c>
    </row>
    <row r="35" spans="1:7">
      <c r="A35" s="4" t="s">
        <v>123</v>
      </c>
      <c r="B35" s="12" t="s">
        <v>1255</v>
      </c>
      <c r="C35" s="3">
        <v>10</v>
      </c>
      <c r="D35" s="108">
        <f>'PREC marzo 2014'!C187</f>
        <v>5731</v>
      </c>
      <c r="E35" s="108">
        <f t="shared" si="4"/>
        <v>57310</v>
      </c>
      <c r="F35" s="95">
        <f t="shared" si="5"/>
        <v>106.41537461702721</v>
      </c>
      <c r="G35" s="96">
        <f t="shared" si="12"/>
        <v>2.922625049564826</v>
      </c>
    </row>
    <row r="36" spans="1:7">
      <c r="A36" s="4" t="s">
        <v>125</v>
      </c>
      <c r="B36" s="3" t="s">
        <v>126</v>
      </c>
      <c r="C36" s="3">
        <v>16</v>
      </c>
      <c r="D36" s="108">
        <f>+'PREC marzo 2014'!E189</f>
        <v>800</v>
      </c>
      <c r="E36" s="108">
        <f t="shared" si="4"/>
        <v>12800</v>
      </c>
      <c r="F36" s="95">
        <f t="shared" si="5"/>
        <v>23.767523906786746</v>
      </c>
      <c r="G36" s="96">
        <f t="shared" si="12"/>
        <v>0.65275869192862979</v>
      </c>
    </row>
    <row r="37" spans="1:7">
      <c r="A37" s="13" t="s">
        <v>1288</v>
      </c>
      <c r="B37" s="12" t="s">
        <v>1289</v>
      </c>
      <c r="C37" s="3">
        <v>3</v>
      </c>
      <c r="D37" s="108">
        <f>'PREC marzo 2014'!C203</f>
        <v>9090</v>
      </c>
      <c r="E37" s="108">
        <f t="shared" ref="E37" si="15">+D37*C37</f>
        <v>27270</v>
      </c>
      <c r="F37" s="95">
        <f t="shared" ref="F37" si="16">+E37/$E$2</f>
        <v>50.63596694828707</v>
      </c>
      <c r="G37" s="96">
        <f t="shared" si="12"/>
        <v>1.390681994444823</v>
      </c>
    </row>
    <row r="38" spans="1:7">
      <c r="A38" s="12" t="s">
        <v>290</v>
      </c>
      <c r="B38" s="3" t="s">
        <v>36</v>
      </c>
      <c r="C38" s="3">
        <v>10</v>
      </c>
      <c r="D38" s="108">
        <f>'PREC marzo 2014'!E142</f>
        <v>6816</v>
      </c>
      <c r="E38" s="108">
        <f t="shared" si="4"/>
        <v>68160</v>
      </c>
      <c r="F38" s="95">
        <f t="shared" si="5"/>
        <v>126.56206480363942</v>
      </c>
      <c r="G38" s="96">
        <f t="shared" si="12"/>
        <v>3.475940034519954</v>
      </c>
    </row>
    <row r="39" spans="1:7">
      <c r="A39" s="4" t="s">
        <v>119</v>
      </c>
      <c r="B39" s="3" t="s">
        <v>36</v>
      </c>
      <c r="C39" s="3">
        <v>10</v>
      </c>
      <c r="D39" s="108">
        <f>+'PREC marzo 2014'!E162</f>
        <v>4533.333333333333</v>
      </c>
      <c r="E39" s="108">
        <f t="shared" si="4"/>
        <v>45333.333333333328</v>
      </c>
      <c r="F39" s="95">
        <f t="shared" si="5"/>
        <v>84.17664716986971</v>
      </c>
      <c r="G39" s="96">
        <f t="shared" si="12"/>
        <v>2.3118537005805639</v>
      </c>
    </row>
    <row r="40" spans="1:7">
      <c r="A40" s="4" t="s">
        <v>120</v>
      </c>
      <c r="B40" s="3" t="s">
        <v>36</v>
      </c>
      <c r="C40" s="3">
        <v>3</v>
      </c>
      <c r="D40" s="108">
        <f>+'PREC marzo 2014'!E169</f>
        <v>11428</v>
      </c>
      <c r="E40" s="108">
        <f t="shared" si="4"/>
        <v>34284</v>
      </c>
      <c r="F40" s="95">
        <f t="shared" si="5"/>
        <v>63.659827314084119</v>
      </c>
      <c r="G40" s="96">
        <f t="shared" si="12"/>
        <v>1.7483733589125896</v>
      </c>
    </row>
    <row r="41" spans="1:7">
      <c r="A41" s="4" t="s">
        <v>117</v>
      </c>
      <c r="B41" s="3" t="s">
        <v>36</v>
      </c>
      <c r="C41" s="3">
        <v>10</v>
      </c>
      <c r="D41" s="108">
        <f>'PREC marzo 2014'!E155</f>
        <v>17252</v>
      </c>
      <c r="E41" s="108">
        <f t="shared" si="4"/>
        <v>172520</v>
      </c>
      <c r="F41" s="95">
        <f t="shared" si="5"/>
        <v>320.34165815616007</v>
      </c>
      <c r="G41" s="96">
        <f t="shared" si="12"/>
        <v>8.797963244650564</v>
      </c>
    </row>
    <row r="42" spans="1:7">
      <c r="A42" s="13" t="s">
        <v>1290</v>
      </c>
      <c r="B42" s="3" t="s">
        <v>38</v>
      </c>
      <c r="C42" s="3">
        <v>0.5</v>
      </c>
      <c r="D42" s="108">
        <f>'PREC marzo 2014'!E204</f>
        <v>33348</v>
      </c>
      <c r="E42" s="108">
        <f t="shared" ref="E42" si="17">+D42*C42</f>
        <v>16674</v>
      </c>
      <c r="F42" s="95">
        <f t="shared" ref="F42" si="18">+E42/$E$2</f>
        <v>30.960913564200169</v>
      </c>
      <c r="G42" s="96">
        <f t="shared" si="12"/>
        <v>0.85032018978265422</v>
      </c>
    </row>
    <row r="43" spans="1:7">
      <c r="A43" s="3" t="s">
        <v>844</v>
      </c>
      <c r="B43" s="3" t="s">
        <v>38</v>
      </c>
      <c r="C43" s="3">
        <v>2</v>
      </c>
      <c r="D43" s="108">
        <f>'PREC marzo 2014'!E235</f>
        <v>6107</v>
      </c>
      <c r="E43" s="108">
        <f t="shared" si="4"/>
        <v>12214</v>
      </c>
      <c r="F43" s="95">
        <f t="shared" si="5"/>
        <v>22.679416952929163</v>
      </c>
      <c r="G43" s="96">
        <f t="shared" si="12"/>
        <v>0.6228745830637723</v>
      </c>
    </row>
    <row r="44" spans="1:7" ht="13.5" thickBot="1">
      <c r="A44" s="10" t="s">
        <v>174</v>
      </c>
      <c r="B44" s="100"/>
      <c r="C44" s="100"/>
      <c r="D44" s="100"/>
      <c r="E44" s="105">
        <f>SUM(E27:E43)</f>
        <v>1079215.2666666666</v>
      </c>
      <c r="F44" s="105">
        <f>SUM(F27:F43)</f>
        <v>2003.9277071147835</v>
      </c>
      <c r="G44" s="1242">
        <f t="shared" si="12"/>
        <v>55.036495763964119</v>
      </c>
    </row>
    <row r="45" spans="1:7" ht="14.25" thickTop="1" thickBot="1">
      <c r="A45" s="101" t="s">
        <v>178</v>
      </c>
      <c r="B45" s="106"/>
      <c r="C45" s="106"/>
      <c r="D45" s="106" t="s">
        <v>9</v>
      </c>
      <c r="E45" s="107">
        <v>80000</v>
      </c>
      <c r="F45" s="1240">
        <f t="shared" si="5"/>
        <v>148.54702441741716</v>
      </c>
      <c r="G45" s="1243">
        <f t="shared" si="12"/>
        <v>4.0797418245539365</v>
      </c>
    </row>
    <row r="46" spans="1:7" ht="14.25" thickTop="1" thickBot="1">
      <c r="A46" s="101" t="s">
        <v>1292</v>
      </c>
      <c r="B46" s="106"/>
      <c r="C46" s="106"/>
      <c r="D46" s="106"/>
      <c r="E46" s="107">
        <v>70000</v>
      </c>
      <c r="F46" s="108">
        <f t="shared" ref="F46" si="19">+E46/$E$2</f>
        <v>129.97864636524</v>
      </c>
      <c r="G46" s="1241">
        <f t="shared" si="12"/>
        <v>3.5697740964846942</v>
      </c>
    </row>
    <row r="47" spans="1:7" ht="14.25" thickTop="1" thickBot="1">
      <c r="A47" s="498" t="s">
        <v>70</v>
      </c>
      <c r="B47" s="499"/>
      <c r="C47" s="499"/>
      <c r="D47" s="499"/>
      <c r="E47" s="500">
        <f>+E44+E25+E45+E46</f>
        <v>1960908.3966666665</v>
      </c>
      <c r="F47" s="500">
        <f>+F44+F25+F45+F46</f>
        <v>3580.344903661065</v>
      </c>
      <c r="G47" s="500">
        <f>+G44+G25+G45+G46</f>
        <v>100.00000000000001</v>
      </c>
    </row>
    <row r="48" spans="1:7" ht="13.5" thickTop="1">
      <c r="A48" t="s">
        <v>9</v>
      </c>
    </row>
    <row r="49" spans="1:7">
      <c r="A49" s="711" t="s">
        <v>179</v>
      </c>
      <c r="B49" s="453"/>
      <c r="C49" s="713">
        <v>30000</v>
      </c>
      <c r="D49" s="712" t="s">
        <v>158</v>
      </c>
    </row>
    <row r="50" spans="1:7">
      <c r="A50" s="1049" t="s">
        <v>654</v>
      </c>
      <c r="B50" s="1050">
        <f>+E47/C49</f>
        <v>65.363613222222213</v>
      </c>
      <c r="C50" s="1051" t="s">
        <v>74</v>
      </c>
    </row>
    <row r="51" spans="1:7">
      <c r="A51" s="1019" t="str">
        <f>'papa 1'!D64</f>
        <v>Precio finca mayo 2015</v>
      </c>
      <c r="B51" s="1047" t="s">
        <v>472</v>
      </c>
      <c r="C51" s="1048">
        <f>resumen!F7</f>
        <v>150</v>
      </c>
      <c r="D51" s="53"/>
      <c r="E51" s="53"/>
      <c r="F51" s="109"/>
      <c r="G51" s="53"/>
    </row>
    <row r="52" spans="1:7" ht="13.5" thickBot="1">
      <c r="A52" s="110" t="s">
        <v>180</v>
      </c>
      <c r="B52" s="7"/>
      <c r="C52" s="7"/>
    </row>
    <row r="53" spans="1:7" ht="13.5" thickBot="1">
      <c r="A53" s="622" t="s">
        <v>181</v>
      </c>
      <c r="B53" s="623" t="s">
        <v>11</v>
      </c>
      <c r="C53" s="624" t="s">
        <v>9</v>
      </c>
    </row>
    <row r="54" spans="1:7">
      <c r="A54" s="31"/>
      <c r="B54" s="111"/>
      <c r="C54" s="16"/>
    </row>
    <row r="55" spans="1:7">
      <c r="A55" s="112" t="s">
        <v>72</v>
      </c>
      <c r="B55" s="433" t="s">
        <v>182</v>
      </c>
      <c r="C55" s="621">
        <f>+C49</f>
        <v>30000</v>
      </c>
    </row>
    <row r="56" spans="1:7">
      <c r="A56" s="620" t="s">
        <v>1173</v>
      </c>
      <c r="B56" s="433" t="s">
        <v>472</v>
      </c>
      <c r="C56" s="1041">
        <v>225</v>
      </c>
    </row>
    <row r="57" spans="1:7">
      <c r="A57" s="112" t="s">
        <v>75</v>
      </c>
      <c r="B57" s="113" t="s">
        <v>18</v>
      </c>
      <c r="C57" s="37">
        <f>+C56*C55</f>
        <v>6750000</v>
      </c>
    </row>
    <row r="58" spans="1:7">
      <c r="A58" s="112" t="s">
        <v>76</v>
      </c>
      <c r="B58" s="113" t="s">
        <v>18</v>
      </c>
      <c r="C58" s="37">
        <f>+$E$47</f>
        <v>1960908.3966666665</v>
      </c>
    </row>
    <row r="59" spans="1:7">
      <c r="A59" s="620" t="s">
        <v>183</v>
      </c>
      <c r="B59" s="433" t="s">
        <v>18</v>
      </c>
      <c r="C59" s="621">
        <f>+C58/C55</f>
        <v>65.363613222222213</v>
      </c>
    </row>
    <row r="60" spans="1:7">
      <c r="A60" s="112" t="s">
        <v>77</v>
      </c>
      <c r="B60" s="113" t="s">
        <v>18</v>
      </c>
      <c r="C60" s="37">
        <f>+C57-C58</f>
        <v>4789091.6033333335</v>
      </c>
    </row>
    <row r="61" spans="1:7">
      <c r="A61" s="112" t="s">
        <v>78</v>
      </c>
      <c r="B61" s="113"/>
      <c r="C61" s="15">
        <f>+C57/C58</f>
        <v>3.4422821644673838</v>
      </c>
    </row>
    <row r="62" spans="1:7">
      <c r="A62" s="115" t="s">
        <v>80</v>
      </c>
      <c r="B62" s="116"/>
      <c r="C62" s="16"/>
    </row>
    <row r="63" spans="1:7" ht="13.5" thickBot="1">
      <c r="A63" s="117" t="s">
        <v>81</v>
      </c>
      <c r="B63" s="118" t="s">
        <v>82</v>
      </c>
      <c r="C63" s="119">
        <f>+(G44-(G30))/100</f>
        <v>0.44327173474510034</v>
      </c>
    </row>
    <row r="64" spans="1:7" ht="13.5" thickBot="1">
      <c r="A64" s="120" t="s">
        <v>184</v>
      </c>
      <c r="B64" s="121" t="s">
        <v>185</v>
      </c>
      <c r="C64" s="122">
        <f>+(C23)/8</f>
        <v>71.5</v>
      </c>
      <c r="F64" t="s">
        <v>9</v>
      </c>
    </row>
    <row r="65" spans="1:3">
      <c r="A65" s="123"/>
      <c r="B65" s="124"/>
      <c r="C65" s="125"/>
    </row>
    <row r="67" spans="1:3">
      <c r="A67" s="229" t="s">
        <v>653</v>
      </c>
    </row>
    <row r="72" spans="1:3">
      <c r="A72" s="327">
        <v>35000</v>
      </c>
      <c r="B72" s="830" t="s">
        <v>1297</v>
      </c>
    </row>
    <row r="73" spans="1:3">
      <c r="A73" s="327">
        <v>250</v>
      </c>
      <c r="B73" s="830" t="s">
        <v>1293</v>
      </c>
    </row>
    <row r="74" spans="1:3">
      <c r="A74" s="327"/>
      <c r="B74" s="8"/>
    </row>
    <row r="75" spans="1:3">
      <c r="A75" s="327">
        <f>A72/A73</f>
        <v>140</v>
      </c>
      <c r="B75" s="830" t="s">
        <v>1271</v>
      </c>
    </row>
    <row r="76" spans="1:3">
      <c r="A76" s="327">
        <v>1500</v>
      </c>
      <c r="B76" s="830" t="s">
        <v>1294</v>
      </c>
      <c r="C76" s="875" t="s">
        <v>1298</v>
      </c>
    </row>
    <row r="77" spans="1:3">
      <c r="A77" s="327">
        <f>A76*A75</f>
        <v>210000</v>
      </c>
      <c r="B77" s="830" t="s">
        <v>1295</v>
      </c>
    </row>
    <row r="78" spans="1:3">
      <c r="A78" s="327"/>
      <c r="B78" s="8"/>
    </row>
    <row r="79" spans="1:3">
      <c r="A79" s="1245">
        <v>25000</v>
      </c>
      <c r="B79" s="1246" t="s">
        <v>1272</v>
      </c>
    </row>
    <row r="80" spans="1:3">
      <c r="A80" s="1245">
        <v>50000</v>
      </c>
      <c r="B80" s="1246" t="s">
        <v>1273</v>
      </c>
    </row>
    <row r="81" spans="1:2">
      <c r="A81" s="1245">
        <f>A80/A79</f>
        <v>2</v>
      </c>
      <c r="B81" s="1246" t="s">
        <v>1274</v>
      </c>
    </row>
    <row r="82" spans="1:2">
      <c r="A82" s="327"/>
      <c r="B82" s="830"/>
    </row>
    <row r="83" spans="1:2">
      <c r="A83" s="327">
        <v>35000</v>
      </c>
      <c r="B83" s="8"/>
    </row>
    <row r="84" spans="1:2">
      <c r="A84" s="327">
        <f>A83*A81</f>
        <v>70000</v>
      </c>
      <c r="B84" s="830" t="s">
        <v>1299</v>
      </c>
    </row>
    <row r="85" spans="1:2">
      <c r="A85" s="1247">
        <f>A84+A77</f>
        <v>280000</v>
      </c>
      <c r="B85" s="1248" t="s">
        <v>1296</v>
      </c>
    </row>
  </sheetData>
  <phoneticPr fontId="34" type="noConversion"/>
  <printOptions gridLines="1" gridLinesSet="0"/>
  <pageMargins left="0.78740157480314965" right="0.59055118110236227" top="0.78740157480314965" bottom="0.69" header="0.51181102362204722" footer="0.51181102362204722"/>
  <pageSetup scale="80" orientation="portrait" horizontalDpi="120" verticalDpi="144" r:id="rId1"/>
  <headerFooter alignWithMargins="0"/>
</worksheet>
</file>

<file path=xl/worksheets/sheet8.xml><?xml version="1.0" encoding="utf-8"?>
<worksheet xmlns="http://schemas.openxmlformats.org/spreadsheetml/2006/main" xmlns:r="http://schemas.openxmlformats.org/officeDocument/2006/relationships">
  <dimension ref="A1:F57"/>
  <sheetViews>
    <sheetView topLeftCell="A16" workbookViewId="0">
      <selection sqref="A1:F52"/>
    </sheetView>
  </sheetViews>
  <sheetFormatPr baseColWidth="10" defaultRowHeight="12.75"/>
  <cols>
    <col min="1" max="1" width="38" customWidth="1"/>
    <col min="2" max="2" width="10.85546875" customWidth="1"/>
    <col min="3" max="3" width="8.85546875" customWidth="1"/>
    <col min="4" max="4" width="9.5703125" customWidth="1"/>
    <col min="5" max="5" width="10.5703125" customWidth="1"/>
    <col min="6" max="6" width="8.85546875" customWidth="1"/>
  </cols>
  <sheetData>
    <row r="1" spans="1:6" ht="15.75">
      <c r="A1" s="625" t="s">
        <v>305</v>
      </c>
      <c r="B1" s="87"/>
      <c r="C1" s="87"/>
      <c r="D1" s="87"/>
      <c r="E1" s="87"/>
      <c r="F1" s="87"/>
    </row>
    <row r="2" spans="1:6" ht="15">
      <c r="A2" s="626" t="s">
        <v>306</v>
      </c>
      <c r="B2" s="87"/>
      <c r="C2" s="87"/>
      <c r="D2" s="627" t="s">
        <v>307</v>
      </c>
      <c r="E2" s="628">
        <f>+'PREC marzo 2014'!E11</f>
        <v>985.47749999999996</v>
      </c>
      <c r="F2" s="397" t="s">
        <v>308</v>
      </c>
    </row>
    <row r="3" spans="1:6" ht="13.5" thickBot="1">
      <c r="A3" s="53" t="s">
        <v>188</v>
      </c>
      <c r="B3" s="54">
        <f>+'PREC marzo 2014'!B3</f>
        <v>42143</v>
      </c>
      <c r="C3" s="87"/>
      <c r="D3" s="629" t="s">
        <v>309</v>
      </c>
      <c r="E3" s="630">
        <f>+'PREC marzo 2014'!B4</f>
        <v>538.54999999999995</v>
      </c>
      <c r="F3" s="484" t="s">
        <v>308</v>
      </c>
    </row>
    <row r="4" spans="1:6">
      <c r="A4" s="525"/>
      <c r="B4" s="526"/>
      <c r="C4" s="527" t="s">
        <v>9</v>
      </c>
      <c r="D4" s="528" t="s">
        <v>194</v>
      </c>
      <c r="E4" s="528" t="s">
        <v>13</v>
      </c>
      <c r="F4" s="529" t="s">
        <v>195</v>
      </c>
    </row>
    <row r="5" spans="1:6">
      <c r="A5" s="530" t="s">
        <v>95</v>
      </c>
      <c r="B5" s="531" t="s">
        <v>197</v>
      </c>
      <c r="C5" s="531" t="s">
        <v>198</v>
      </c>
      <c r="D5" s="528" t="s">
        <v>310</v>
      </c>
      <c r="E5" s="528" t="s">
        <v>16</v>
      </c>
      <c r="F5" s="529" t="s">
        <v>82</v>
      </c>
    </row>
    <row r="6" spans="1:6" ht="13.5" thickBot="1">
      <c r="A6" s="532"/>
      <c r="B6" s="533"/>
      <c r="C6" s="533"/>
      <c r="D6" s="528" t="s">
        <v>311</v>
      </c>
      <c r="E6" s="528" t="s">
        <v>311</v>
      </c>
      <c r="F6" s="529" t="s">
        <v>9</v>
      </c>
    </row>
    <row r="7" spans="1:6" ht="13.5" thickTop="1">
      <c r="A7" s="272" t="s">
        <v>134</v>
      </c>
      <c r="B7" s="235"/>
      <c r="C7" s="235"/>
      <c r="D7" s="235"/>
      <c r="E7" s="235"/>
      <c r="F7" s="237"/>
    </row>
    <row r="8" spans="1:6">
      <c r="A8" s="238" t="s">
        <v>202</v>
      </c>
      <c r="B8" s="239"/>
      <c r="C8" s="239"/>
      <c r="D8" s="239"/>
      <c r="E8" s="273" t="s">
        <v>9</v>
      </c>
      <c r="F8" s="241"/>
    </row>
    <row r="9" spans="1:6">
      <c r="A9" s="238" t="s">
        <v>136</v>
      </c>
      <c r="B9" s="240" t="s">
        <v>233</v>
      </c>
      <c r="C9" s="242">
        <v>4</v>
      </c>
      <c r="D9" s="274">
        <f>+'PREC marzo 2014'!C7</f>
        <v>18000</v>
      </c>
      <c r="E9" s="274">
        <f>C9*D9</f>
        <v>72000</v>
      </c>
      <c r="F9" s="275">
        <f>E9/$E$47*100</f>
        <v>2.9185202175056384</v>
      </c>
    </row>
    <row r="10" spans="1:6">
      <c r="A10" s="238" t="s">
        <v>137</v>
      </c>
      <c r="B10" s="240" t="s">
        <v>233</v>
      </c>
      <c r="C10" s="242">
        <v>5</v>
      </c>
      <c r="D10" s="274">
        <f>+D9</f>
        <v>18000</v>
      </c>
      <c r="E10" s="274">
        <f>C10*D10</f>
        <v>90000</v>
      </c>
      <c r="F10" s="275">
        <f>E10/$E$47*100</f>
        <v>3.6481502718820473</v>
      </c>
    </row>
    <row r="11" spans="1:6" ht="13.5" thickBot="1">
      <c r="A11" s="238" t="s">
        <v>1300</v>
      </c>
      <c r="B11" s="240" t="s">
        <v>312</v>
      </c>
      <c r="C11" s="242">
        <v>12</v>
      </c>
      <c r="D11" s="274">
        <f>'PREC marzo 2014'!E13</f>
        <v>1875</v>
      </c>
      <c r="E11" s="274">
        <f>C11*D11</f>
        <v>22500</v>
      </c>
      <c r="F11" s="275">
        <f>E11/$E$47*100</f>
        <v>0.91203756797051183</v>
      </c>
    </row>
    <row r="12" spans="1:6" ht="13.5" thickBot="1">
      <c r="A12" s="267" t="s">
        <v>140</v>
      </c>
      <c r="B12" s="276"/>
      <c r="C12" s="276"/>
      <c r="D12" s="767"/>
      <c r="E12" s="277">
        <f>SUM(E9:E11)</f>
        <v>184500</v>
      </c>
      <c r="F12" s="278">
        <f>E12/$E$47*100</f>
        <v>7.4787080573581983</v>
      </c>
    </row>
    <row r="13" spans="1:6">
      <c r="A13" s="238" t="s">
        <v>473</v>
      </c>
      <c r="B13" s="258"/>
      <c r="C13" s="239"/>
      <c r="D13" s="279"/>
      <c r="E13" s="279"/>
      <c r="F13" s="241"/>
    </row>
    <row r="14" spans="1:6">
      <c r="A14" s="238" t="s">
        <v>167</v>
      </c>
      <c r="B14" s="239"/>
      <c r="C14" s="239"/>
      <c r="D14" s="279"/>
      <c r="E14" s="279"/>
      <c r="F14" s="263" t="s">
        <v>9</v>
      </c>
    </row>
    <row r="15" spans="1:6">
      <c r="A15" s="238" t="s">
        <v>315</v>
      </c>
      <c r="B15" s="240" t="s">
        <v>23</v>
      </c>
      <c r="C15" s="242">
        <v>40</v>
      </c>
      <c r="D15" s="274">
        <f t="shared" ref="D15:D21" si="0">+$E$2</f>
        <v>985.47749999999996</v>
      </c>
      <c r="E15" s="274">
        <f t="shared" ref="E15:E21" si="1">C15*D15</f>
        <v>39419.1</v>
      </c>
      <c r="F15" s="275">
        <f t="shared" ref="F15:F21" si="2">E15/$E$47*100</f>
        <v>1.597853337581618</v>
      </c>
    </row>
    <row r="16" spans="1:6">
      <c r="A16" s="238" t="s">
        <v>138</v>
      </c>
      <c r="B16" s="240" t="s">
        <v>23</v>
      </c>
      <c r="C16" s="242">
        <v>200</v>
      </c>
      <c r="D16" s="274">
        <f t="shared" si="0"/>
        <v>985.47749999999996</v>
      </c>
      <c r="E16" s="274">
        <f t="shared" si="1"/>
        <v>197095.5</v>
      </c>
      <c r="F16" s="275">
        <f t="shared" si="2"/>
        <v>7.9892666879080902</v>
      </c>
    </row>
    <row r="17" spans="1:6">
      <c r="A17" s="238" t="s">
        <v>313</v>
      </c>
      <c r="B17" s="240" t="s">
        <v>23</v>
      </c>
      <c r="C17" s="242">
        <v>40</v>
      </c>
      <c r="D17" s="274">
        <f t="shared" si="0"/>
        <v>985.47749999999996</v>
      </c>
      <c r="E17" s="274">
        <f t="shared" si="1"/>
        <v>39419.1</v>
      </c>
      <c r="F17" s="275">
        <f t="shared" si="2"/>
        <v>1.597853337581618</v>
      </c>
    </row>
    <row r="18" spans="1:6">
      <c r="A18" s="238" t="s">
        <v>169</v>
      </c>
      <c r="B18" s="240" t="s">
        <v>23</v>
      </c>
      <c r="C18" s="242">
        <f>1.875*64</f>
        <v>120</v>
      </c>
      <c r="D18" s="274">
        <f t="shared" si="0"/>
        <v>985.47749999999996</v>
      </c>
      <c r="E18" s="274">
        <f t="shared" si="1"/>
        <v>118257.29999999999</v>
      </c>
      <c r="F18" s="275">
        <f t="shared" si="2"/>
        <v>4.7935600127448543</v>
      </c>
    </row>
    <row r="19" spans="1:6">
      <c r="A19" s="238" t="s">
        <v>287</v>
      </c>
      <c r="B19" s="240" t="s">
        <v>23</v>
      </c>
      <c r="C19" s="242">
        <v>24</v>
      </c>
      <c r="D19" s="274">
        <f t="shared" si="0"/>
        <v>985.47749999999996</v>
      </c>
      <c r="E19" s="274">
        <f t="shared" si="1"/>
        <v>23651.46</v>
      </c>
      <c r="F19" s="275">
        <f t="shared" si="2"/>
        <v>0.95871200254897082</v>
      </c>
    </row>
    <row r="20" spans="1:6">
      <c r="A20" s="238" t="s">
        <v>316</v>
      </c>
      <c r="B20" s="240" t="s">
        <v>23</v>
      </c>
      <c r="C20" s="242">
        <v>32</v>
      </c>
      <c r="D20" s="274">
        <f t="shared" si="0"/>
        <v>985.47749999999996</v>
      </c>
      <c r="E20" s="274">
        <f t="shared" si="1"/>
        <v>31535.279999999999</v>
      </c>
      <c r="F20" s="275">
        <f t="shared" si="2"/>
        <v>1.2782826700652945</v>
      </c>
    </row>
    <row r="21" spans="1:6" ht="13.5" thickBot="1">
      <c r="A21" s="281" t="s">
        <v>317</v>
      </c>
      <c r="B21" s="282" t="s">
        <v>23</v>
      </c>
      <c r="C21" s="283">
        <v>120</v>
      </c>
      <c r="D21" s="284">
        <f t="shared" si="0"/>
        <v>985.47749999999996</v>
      </c>
      <c r="E21" s="284">
        <f t="shared" si="1"/>
        <v>118257.29999999999</v>
      </c>
      <c r="F21" s="285">
        <f t="shared" si="2"/>
        <v>4.7935600127448543</v>
      </c>
    </row>
    <row r="22" spans="1:6">
      <c r="A22" s="238" t="s">
        <v>246</v>
      </c>
      <c r="B22" s="240" t="s">
        <v>23</v>
      </c>
      <c r="C22" s="243">
        <f>C21+C20</f>
        <v>152</v>
      </c>
      <c r="D22" s="279"/>
      <c r="E22" s="274">
        <f>SUM(E15:E21)</f>
        <v>567635.04</v>
      </c>
      <c r="F22" s="275">
        <f>E22/$E$47*100</f>
        <v>23.009088061175301</v>
      </c>
    </row>
    <row r="23" spans="1:6">
      <c r="A23" s="238" t="s">
        <v>718</v>
      </c>
      <c r="B23" s="240" t="s">
        <v>717</v>
      </c>
      <c r="C23" s="240"/>
      <c r="D23" s="273"/>
      <c r="E23" s="274">
        <f>'PREC marzo 2014'!E10</f>
        <v>168000</v>
      </c>
      <c r="F23" s="275">
        <f>E23/$E$47*100</f>
        <v>6.8098805075131548</v>
      </c>
    </row>
    <row r="24" spans="1:6" ht="13.5" thickBot="1">
      <c r="A24" s="287" t="s">
        <v>475</v>
      </c>
      <c r="B24" s="288"/>
      <c r="C24" s="288"/>
      <c r="D24" s="768"/>
      <c r="E24" s="290">
        <f>E23+E22</f>
        <v>735635.04</v>
      </c>
      <c r="F24" s="291">
        <f>E24/$E$47*100</f>
        <v>29.818968568688458</v>
      </c>
    </row>
    <row r="25" spans="1:6">
      <c r="A25" s="292" t="s">
        <v>476</v>
      </c>
      <c r="B25" s="239"/>
      <c r="C25" s="239"/>
      <c r="D25" s="273" t="s">
        <v>9</v>
      </c>
      <c r="E25" s="279"/>
      <c r="F25" s="241"/>
    </row>
    <row r="26" spans="1:6">
      <c r="A26" s="238" t="s">
        <v>639</v>
      </c>
      <c r="B26" s="239" t="s">
        <v>197</v>
      </c>
      <c r="C26" s="279">
        <v>30000</v>
      </c>
      <c r="D26" s="274">
        <f>'PREC marzo 2014'!E26</f>
        <v>20</v>
      </c>
      <c r="E26" s="274">
        <f t="shared" ref="E26:E28" si="3">C26*D26</f>
        <v>600000</v>
      </c>
      <c r="F26" s="275">
        <f>E26/$E$47*100</f>
        <v>24.321001812546985</v>
      </c>
    </row>
    <row r="27" spans="1:6">
      <c r="A27" s="238" t="s">
        <v>1301</v>
      </c>
      <c r="B27" s="240" t="s">
        <v>36</v>
      </c>
      <c r="C27" s="242">
        <f>8*46</f>
        <v>368</v>
      </c>
      <c r="D27" s="274">
        <f>'PREC marzo 2014'!E69</f>
        <v>342.66666666666669</v>
      </c>
      <c r="E27" s="274">
        <f t="shared" si="3"/>
        <v>126101.33333333334</v>
      </c>
      <c r="F27" s="275">
        <f>E27/$E$47*100</f>
        <v>5.111517927607653</v>
      </c>
    </row>
    <row r="28" spans="1:6">
      <c r="A28" s="257" t="s">
        <v>765</v>
      </c>
      <c r="B28" s="240" t="s">
        <v>36</v>
      </c>
      <c r="C28" s="242">
        <f>8*46</f>
        <v>368</v>
      </c>
      <c r="D28" s="274">
        <f>'PREC marzo 2014'!E78</f>
        <v>426.66666666666669</v>
      </c>
      <c r="E28" s="274">
        <f t="shared" si="3"/>
        <v>157013.33333333334</v>
      </c>
      <c r="F28" s="1251">
        <f>E28/$E$47*100</f>
        <v>6.3645359409900735</v>
      </c>
    </row>
    <row r="29" spans="1:6">
      <c r="A29" s="1249" t="str">
        <f>rep!A31</f>
        <v>AMINOAC.BIOFIX</v>
      </c>
      <c r="B29" s="1249" t="str">
        <f>rep!B31</f>
        <v>LT</v>
      </c>
      <c r="C29" s="1250">
        <f>rep!C31</f>
        <v>4</v>
      </c>
      <c r="D29" s="1250">
        <f>rep!D31</f>
        <v>4339</v>
      </c>
      <c r="E29" s="1250">
        <f>rep!E31</f>
        <v>17356</v>
      </c>
      <c r="F29" s="1252">
        <f>rep!F31</f>
        <v>32.227276947358654</v>
      </c>
    </row>
    <row r="30" spans="1:6">
      <c r="A30" s="1249" t="str">
        <f>rep!A32</f>
        <v>BACTERICIDA:AGRI-MYCIN</v>
      </c>
      <c r="B30" s="1249" t="str">
        <f>rep!B32</f>
        <v>KG</v>
      </c>
      <c r="C30" s="1250">
        <f>rep!C32</f>
        <v>0.2</v>
      </c>
      <c r="D30" s="1250">
        <f>rep!D32</f>
        <v>7233</v>
      </c>
      <c r="E30" s="1250">
        <f>rep!E32</f>
        <v>1446.6000000000001</v>
      </c>
      <c r="F30" s="1252">
        <f>rep!F32</f>
        <v>2.6861015690279459</v>
      </c>
    </row>
    <row r="31" spans="1:6">
      <c r="A31" s="1249" t="str">
        <f>rep!A33</f>
        <v>INSECTICIDA:  EVISECT</v>
      </c>
      <c r="B31" s="1249" t="str">
        <f>rep!B33</f>
        <v>KG</v>
      </c>
      <c r="C31" s="1250">
        <f>rep!C33</f>
        <v>0.5</v>
      </c>
      <c r="D31" s="1250">
        <f>rep!D33</f>
        <v>35620</v>
      </c>
      <c r="E31" s="1250">
        <f>rep!E33</f>
        <v>17810</v>
      </c>
      <c r="F31" s="1252">
        <f>rep!F33</f>
        <v>33.070281310927491</v>
      </c>
    </row>
    <row r="32" spans="1:6">
      <c r="A32" s="1249" t="str">
        <f>rep!A34</f>
        <v>PADAN</v>
      </c>
      <c r="B32" s="1249" t="str">
        <f>rep!B34</f>
        <v>KG</v>
      </c>
      <c r="C32" s="1250">
        <f>rep!C34</f>
        <v>1.5</v>
      </c>
      <c r="D32" s="1250">
        <f>rep!D34</f>
        <v>20384</v>
      </c>
      <c r="E32" s="1250">
        <f>rep!E34</f>
        <v>30576</v>
      </c>
      <c r="F32" s="1252">
        <f>rep!F34</f>
        <v>56.774672732336832</v>
      </c>
    </row>
    <row r="33" spans="1:6">
      <c r="A33" s="1249" t="str">
        <f>rep!A35</f>
        <v>DIPEL (BACILLUS T.)</v>
      </c>
      <c r="B33" s="1249" t="str">
        <f>rep!B35</f>
        <v>50CC</v>
      </c>
      <c r="C33" s="1250">
        <f>rep!C35</f>
        <v>10</v>
      </c>
      <c r="D33" s="1250">
        <f>rep!D35</f>
        <v>5731</v>
      </c>
      <c r="E33" s="1250">
        <f>rep!E35</f>
        <v>57310</v>
      </c>
      <c r="F33" s="1252">
        <f>rep!F35</f>
        <v>106.41537461702721</v>
      </c>
    </row>
    <row r="34" spans="1:6">
      <c r="A34" s="1249" t="str">
        <f>rep!A36</f>
        <v>FEROMONA PLUTELLA</v>
      </c>
      <c r="B34" s="1249" t="str">
        <f>rep!B36</f>
        <v>UNID</v>
      </c>
      <c r="C34" s="1250">
        <f>rep!C36</f>
        <v>16</v>
      </c>
      <c r="D34" s="1250">
        <f>rep!D36</f>
        <v>800</v>
      </c>
      <c r="E34" s="1250">
        <f>rep!E36</f>
        <v>12800</v>
      </c>
      <c r="F34" s="1252">
        <f>rep!F36</f>
        <v>23.767523906786746</v>
      </c>
    </row>
    <row r="35" spans="1:6">
      <c r="A35" s="1249" t="str">
        <f>rep!A37</f>
        <v>REGENT</v>
      </c>
      <c r="B35" s="1249" t="str">
        <f>rep!B37</f>
        <v xml:space="preserve">100 CC </v>
      </c>
      <c r="C35" s="1250">
        <f>rep!C37</f>
        <v>3</v>
      </c>
      <c r="D35" s="1250">
        <f>rep!D37</f>
        <v>9090</v>
      </c>
      <c r="E35" s="1250">
        <f>rep!E37</f>
        <v>27270</v>
      </c>
      <c r="F35" s="1252">
        <f>rep!F37</f>
        <v>50.63596694828707</v>
      </c>
    </row>
    <row r="36" spans="1:6">
      <c r="A36" s="1249" t="str">
        <f>rep!A38</f>
        <v>FUNGICIDAS : ANTRACOL</v>
      </c>
      <c r="B36" s="1249" t="str">
        <f>rep!B38</f>
        <v>KG</v>
      </c>
      <c r="C36" s="1250">
        <f>rep!C38</f>
        <v>10</v>
      </c>
      <c r="D36" s="1250">
        <f>rep!D38</f>
        <v>6816</v>
      </c>
      <c r="E36" s="1250">
        <f>rep!E38</f>
        <v>68160</v>
      </c>
      <c r="F36" s="1252">
        <f>rep!F38</f>
        <v>126.56206480363942</v>
      </c>
    </row>
    <row r="37" spans="1:6">
      <c r="A37" s="1249" t="str">
        <f>rep!A39</f>
        <v>M-80</v>
      </c>
      <c r="B37" s="1249" t="str">
        <f>rep!B39</f>
        <v>KG</v>
      </c>
      <c r="C37" s="1250">
        <f>rep!C39</f>
        <v>10</v>
      </c>
      <c r="D37" s="1250">
        <f>rep!D39</f>
        <v>4533.333333333333</v>
      </c>
      <c r="E37" s="1250">
        <f>rep!E39</f>
        <v>45333.333333333328</v>
      </c>
      <c r="F37" s="1252">
        <f>rep!F39</f>
        <v>84.17664716986971</v>
      </c>
    </row>
    <row r="38" spans="1:6">
      <c r="A38" s="1249" t="str">
        <f>rep!A40</f>
        <v>RONILAN</v>
      </c>
      <c r="B38" s="1249" t="str">
        <f>rep!B40</f>
        <v>KG</v>
      </c>
      <c r="C38" s="1250">
        <f>rep!C40</f>
        <v>3</v>
      </c>
      <c r="D38" s="1250">
        <f>rep!D40</f>
        <v>11428</v>
      </c>
      <c r="E38" s="1250">
        <f>rep!E40</f>
        <v>34284</v>
      </c>
      <c r="F38" s="1252">
        <f>rep!F40</f>
        <v>63.659827314084119</v>
      </c>
    </row>
    <row r="39" spans="1:6">
      <c r="A39" s="1249" t="str">
        <f>rep!A41</f>
        <v>DACONIL</v>
      </c>
      <c r="B39" s="1249" t="str">
        <f>rep!B41</f>
        <v>KG</v>
      </c>
      <c r="C39" s="1250">
        <f>rep!C41</f>
        <v>10</v>
      </c>
      <c r="D39" s="1250">
        <f>rep!D41</f>
        <v>17252</v>
      </c>
      <c r="E39" s="1250">
        <f>rep!E41</f>
        <v>172520</v>
      </c>
      <c r="F39" s="1252">
        <f>rep!F41</f>
        <v>320.34165815616007</v>
      </c>
    </row>
    <row r="40" spans="1:6">
      <c r="A40" s="1249" t="str">
        <f>rep!A42</f>
        <v xml:space="preserve">SILVACUR </v>
      </c>
      <c r="B40" s="1249" t="str">
        <f>rep!B42</f>
        <v>LT</v>
      </c>
      <c r="C40" s="1250">
        <f>rep!C42</f>
        <v>0.5</v>
      </c>
      <c r="D40" s="1250">
        <f>rep!D42</f>
        <v>33348</v>
      </c>
      <c r="E40" s="1250">
        <f>rep!E42</f>
        <v>16674</v>
      </c>
      <c r="F40" s="1252">
        <f>rep!F42</f>
        <v>30.960913564200169</v>
      </c>
    </row>
    <row r="41" spans="1:6">
      <c r="A41" s="1249" t="str">
        <f>rep!A43</f>
        <v xml:space="preserve">ADHERENTE </v>
      </c>
      <c r="B41" s="1249" t="str">
        <f>rep!B43</f>
        <v>LT</v>
      </c>
      <c r="C41" s="1250">
        <f>rep!C43</f>
        <v>2</v>
      </c>
      <c r="D41" s="1250">
        <f>rep!D43</f>
        <v>6107</v>
      </c>
      <c r="E41" s="1250">
        <f>rep!E43</f>
        <v>12214</v>
      </c>
      <c r="F41" s="1252">
        <f>rep!F43</f>
        <v>22.679416952929163</v>
      </c>
    </row>
    <row r="42" spans="1:6" ht="13.5" thickBot="1">
      <c r="A42" s="257"/>
      <c r="B42" s="240"/>
      <c r="C42" s="242"/>
      <c r="D42" s="274"/>
      <c r="E42" s="274"/>
      <c r="F42" s="275"/>
    </row>
    <row r="43" spans="1:6" ht="13.5" thickBot="1">
      <c r="A43" s="267" t="s">
        <v>291</v>
      </c>
      <c r="B43" s="268" t="s">
        <v>9</v>
      </c>
      <c r="C43" s="268" t="s">
        <v>9</v>
      </c>
      <c r="D43" s="769" t="s">
        <v>9</v>
      </c>
      <c r="E43" s="1253">
        <f>SUM(E26:E42)</f>
        <v>1396868.5999999999</v>
      </c>
      <c r="F43" s="1254">
        <f>E43/$E$47*100</f>
        <v>56.622072920816613</v>
      </c>
    </row>
    <row r="44" spans="1:6">
      <c r="A44" s="238" t="s">
        <v>66</v>
      </c>
      <c r="B44" s="239"/>
      <c r="C44" s="239"/>
      <c r="D44" s="279"/>
      <c r="E44" s="279"/>
      <c r="F44" s="241"/>
    </row>
    <row r="45" spans="1:6">
      <c r="A45" s="238" t="s">
        <v>320</v>
      </c>
      <c r="B45" s="239"/>
      <c r="C45" s="239"/>
      <c r="D45" s="279"/>
      <c r="E45" s="274">
        <v>70000</v>
      </c>
      <c r="F45" s="275">
        <f>E45/$E$47*100</f>
        <v>2.8374502114638149</v>
      </c>
    </row>
    <row r="46" spans="1:6">
      <c r="A46" s="238" t="s">
        <v>178</v>
      </c>
      <c r="B46" s="239"/>
      <c r="C46" s="239"/>
      <c r="D46" s="279"/>
      <c r="E46" s="274">
        <v>80000</v>
      </c>
      <c r="F46" s="275">
        <f>E46/$E$47*100</f>
        <v>3.2428002416729313</v>
      </c>
    </row>
    <row r="47" spans="1:6" ht="13.5" thickBot="1">
      <c r="A47" s="534" t="s">
        <v>321</v>
      </c>
      <c r="B47" s="535"/>
      <c r="C47" s="535"/>
      <c r="D47" s="535"/>
      <c r="E47" s="536">
        <f>E12+E24+E43+E46+E45</f>
        <v>2467003.6399999997</v>
      </c>
      <c r="F47" s="537">
        <f>E47/E47*100</f>
        <v>100</v>
      </c>
    </row>
    <row r="48" spans="1:6" ht="13.5" thickBot="1">
      <c r="A48" s="534" t="s">
        <v>322</v>
      </c>
      <c r="B48" s="535"/>
      <c r="C48" s="535"/>
      <c r="D48" s="535"/>
      <c r="E48" s="536">
        <f>+E47/$E$3</f>
        <v>4580.8256243617116</v>
      </c>
      <c r="F48" s="537" t="s">
        <v>9</v>
      </c>
    </row>
    <row r="49" spans="1:6" ht="13.5" thickBot="1">
      <c r="A49" s="255"/>
      <c r="B49" s="255"/>
      <c r="C49" s="255"/>
      <c r="D49" s="255"/>
      <c r="E49" s="255"/>
      <c r="F49" s="255"/>
    </row>
    <row r="50" spans="1:6">
      <c r="A50" s="270" t="s">
        <v>323</v>
      </c>
      <c r="B50" s="293">
        <v>12000</v>
      </c>
      <c r="C50" s="40" t="s">
        <v>324</v>
      </c>
      <c r="F50" s="87" t="s">
        <v>9</v>
      </c>
    </row>
    <row r="51" spans="1:6">
      <c r="A51" s="292" t="s">
        <v>647</v>
      </c>
      <c r="B51" s="82">
        <f>+E47/B50</f>
        <v>205.58363666666665</v>
      </c>
      <c r="C51" s="45" t="s">
        <v>325</v>
      </c>
      <c r="F51" s="87"/>
    </row>
    <row r="52" spans="1:6" ht="13.5" thickBot="1">
      <c r="A52" s="1019" t="str">
        <f>rep!A51</f>
        <v>Precio finca mayo 2015</v>
      </c>
      <c r="B52" s="987">
        <f>resumen!F8</f>
        <v>500</v>
      </c>
      <c r="C52" s="41" t="s">
        <v>325</v>
      </c>
      <c r="F52" s="87"/>
    </row>
    <row r="53" spans="1:6">
      <c r="A53" s="238" t="s">
        <v>326</v>
      </c>
      <c r="B53" s="239"/>
      <c r="C53" s="241"/>
      <c r="F53" s="87"/>
    </row>
    <row r="54" spans="1:6">
      <c r="A54" s="296" t="s">
        <v>327</v>
      </c>
      <c r="B54" s="239"/>
      <c r="C54" s="241"/>
      <c r="F54" s="87"/>
    </row>
    <row r="55" spans="1:6" ht="13.5" thickBot="1">
      <c r="A55" s="230" t="s">
        <v>328</v>
      </c>
      <c r="B55" s="297"/>
      <c r="C55" s="298"/>
      <c r="F55" s="87"/>
    </row>
    <row r="56" spans="1:6">
      <c r="A56" s="229" t="s">
        <v>653</v>
      </c>
      <c r="B56" s="87"/>
      <c r="C56" s="87"/>
      <c r="D56" s="87"/>
      <c r="E56" s="87"/>
      <c r="F56" s="87"/>
    </row>
    <row r="57" spans="1:6">
      <c r="A57" s="271" t="s">
        <v>9</v>
      </c>
      <c r="B57" s="87"/>
      <c r="C57" s="87"/>
      <c r="D57" s="87"/>
      <c r="E57" s="87"/>
      <c r="F57" s="87"/>
    </row>
  </sheetData>
  <phoneticPr fontId="34" type="noConversion"/>
  <pageMargins left="1.08" right="0.32" top="0.93" bottom="0.78" header="0.51181102362204722" footer="0.51181102362204722"/>
  <pageSetup scale="85" orientation="portrait" horizontalDpi="120" verticalDpi="144" r:id="rId1"/>
  <headerFooter alignWithMargins="0">
    <oddHeader>&amp;A</oddHeader>
  </headerFooter>
</worksheet>
</file>

<file path=xl/worksheets/sheet9.xml><?xml version="1.0" encoding="utf-8"?>
<worksheet xmlns="http://schemas.openxmlformats.org/spreadsheetml/2006/main" xmlns:r="http://schemas.openxmlformats.org/officeDocument/2006/relationships">
  <dimension ref="A1:F58"/>
  <sheetViews>
    <sheetView topLeftCell="A16" workbookViewId="0">
      <selection sqref="A1:F51"/>
    </sheetView>
  </sheetViews>
  <sheetFormatPr baseColWidth="10" defaultRowHeight="12.75"/>
  <cols>
    <col min="1" max="1" width="35.5703125" customWidth="1"/>
    <col min="2" max="2" width="13.28515625" customWidth="1"/>
    <col min="3" max="3" width="7.85546875" customWidth="1"/>
    <col min="4" max="4" width="10.42578125" customWidth="1"/>
    <col min="5" max="5" width="11.85546875" customWidth="1"/>
    <col min="6" max="6" width="8.5703125" customWidth="1"/>
  </cols>
  <sheetData>
    <row r="1" spans="1:6" ht="15.75">
      <c r="A1" s="625" t="s">
        <v>359</v>
      </c>
      <c r="B1" s="53"/>
      <c r="C1" s="53"/>
      <c r="D1" s="53"/>
      <c r="E1" s="53"/>
      <c r="F1" s="53"/>
    </row>
    <row r="2" spans="1:6" ht="15.75">
      <c r="A2" s="625" t="s">
        <v>306</v>
      </c>
      <c r="B2" s="53"/>
      <c r="C2" s="53"/>
      <c r="D2" s="631" t="s">
        <v>307</v>
      </c>
      <c r="E2" s="632">
        <f>+'PREC marzo 2014'!E11</f>
        <v>985.47749999999996</v>
      </c>
      <c r="F2" s="93" t="s">
        <v>308</v>
      </c>
    </row>
    <row r="3" spans="1:6" ht="13.5" thickBot="1">
      <c r="A3" s="53" t="s">
        <v>188</v>
      </c>
      <c r="B3" s="54">
        <f>+'PREC marzo 2014'!B3</f>
        <v>42143</v>
      </c>
      <c r="C3" s="53"/>
      <c r="D3" s="633" t="s">
        <v>309</v>
      </c>
      <c r="E3" s="634">
        <f>+'PREC marzo 2014'!B4</f>
        <v>538.54999999999995</v>
      </c>
      <c r="F3" s="92" t="s">
        <v>308</v>
      </c>
    </row>
    <row r="4" spans="1:6">
      <c r="A4" s="508"/>
      <c r="B4" s="509"/>
      <c r="C4" s="510" t="s">
        <v>9</v>
      </c>
      <c r="D4" s="511" t="s">
        <v>194</v>
      </c>
      <c r="E4" s="511" t="s">
        <v>13</v>
      </c>
      <c r="F4" s="512" t="s">
        <v>195</v>
      </c>
    </row>
    <row r="5" spans="1:6">
      <c r="A5" s="513" t="s">
        <v>95</v>
      </c>
      <c r="B5" s="514" t="s">
        <v>197</v>
      </c>
      <c r="C5" s="514" t="s">
        <v>198</v>
      </c>
      <c r="D5" s="511" t="s">
        <v>310</v>
      </c>
      <c r="E5" s="511" t="s">
        <v>16</v>
      </c>
      <c r="F5" s="512" t="s">
        <v>82</v>
      </c>
    </row>
    <row r="6" spans="1:6" ht="13.5" thickBot="1">
      <c r="A6" s="515"/>
      <c r="B6" s="516"/>
      <c r="C6" s="516"/>
      <c r="D6" s="511" t="s">
        <v>311</v>
      </c>
      <c r="E6" s="511" t="s">
        <v>311</v>
      </c>
      <c r="F6" s="512" t="s">
        <v>9</v>
      </c>
    </row>
    <row r="7" spans="1:6" ht="13.5" thickTop="1">
      <c r="A7" s="272" t="s">
        <v>134</v>
      </c>
      <c r="B7" s="235"/>
      <c r="C7" s="235"/>
      <c r="D7" s="235"/>
      <c r="E7" s="235"/>
      <c r="F7" s="237"/>
    </row>
    <row r="8" spans="1:6">
      <c r="A8" s="238" t="s">
        <v>202</v>
      </c>
      <c r="B8" s="239"/>
      <c r="C8" s="239"/>
      <c r="D8" s="239"/>
      <c r="E8" s="273" t="s">
        <v>9</v>
      </c>
      <c r="F8" s="241"/>
    </row>
    <row r="9" spans="1:6">
      <c r="A9" s="238" t="s">
        <v>136</v>
      </c>
      <c r="B9" s="240" t="s">
        <v>233</v>
      </c>
      <c r="C9" s="242">
        <v>4</v>
      </c>
      <c r="D9" s="274">
        <f>+'PREC marzo 2014'!C7</f>
        <v>18000</v>
      </c>
      <c r="E9" s="274">
        <f>C9*D9</f>
        <v>72000</v>
      </c>
      <c r="F9" s="275">
        <f>E9/$E$46*100</f>
        <v>2.643325379102238</v>
      </c>
    </row>
    <row r="10" spans="1:6">
      <c r="A10" s="238" t="s">
        <v>137</v>
      </c>
      <c r="B10" s="240" t="s">
        <v>233</v>
      </c>
      <c r="C10" s="242">
        <v>5</v>
      </c>
      <c r="D10" s="274">
        <f>+D9</f>
        <v>18000</v>
      </c>
      <c r="E10" s="274">
        <f>C10*D10</f>
        <v>90000</v>
      </c>
      <c r="F10" s="275">
        <f>E10/$E$46*100</f>
        <v>3.3041567238777976</v>
      </c>
    </row>
    <row r="11" spans="1:6" ht="13.5" thickBot="1">
      <c r="A11" s="238" t="s">
        <v>1300</v>
      </c>
      <c r="B11" s="240" t="s">
        <v>312</v>
      </c>
      <c r="C11" s="242">
        <v>12</v>
      </c>
      <c r="D11" s="274">
        <f>'PREC marzo 2014'!E13</f>
        <v>1875</v>
      </c>
      <c r="E11" s="274">
        <f>C11*D11</f>
        <v>22500</v>
      </c>
      <c r="F11" s="275">
        <f>E11/$E$46*100</f>
        <v>0.82603918096944939</v>
      </c>
    </row>
    <row r="12" spans="1:6" ht="13.5" thickBot="1">
      <c r="A12" s="267" t="s">
        <v>140</v>
      </c>
      <c r="B12" s="276"/>
      <c r="C12" s="276"/>
      <c r="D12" s="767"/>
      <c r="E12" s="277">
        <f>SUM(E9:E11)</f>
        <v>184500</v>
      </c>
      <c r="F12" s="278">
        <f>E12/$E$46*100</f>
        <v>6.7735212839494849</v>
      </c>
    </row>
    <row r="13" spans="1:6">
      <c r="A13" s="238" t="s">
        <v>473</v>
      </c>
      <c r="B13" s="258"/>
      <c r="C13" s="239"/>
      <c r="D13" s="279"/>
      <c r="E13" s="279"/>
      <c r="F13" s="241"/>
    </row>
    <row r="14" spans="1:6">
      <c r="A14" s="238" t="s">
        <v>167</v>
      </c>
      <c r="B14" s="239"/>
      <c r="C14" s="239"/>
      <c r="D14" s="279"/>
      <c r="E14" s="279"/>
      <c r="F14" s="263" t="s">
        <v>9</v>
      </c>
    </row>
    <row r="15" spans="1:6">
      <c r="A15" s="238" t="s">
        <v>315</v>
      </c>
      <c r="B15" s="240" t="s">
        <v>23</v>
      </c>
      <c r="C15" s="242">
        <v>40</v>
      </c>
      <c r="D15" s="274">
        <f t="shared" ref="D15:D20" si="0">+$E$2</f>
        <v>985.47749999999996</v>
      </c>
      <c r="E15" s="274">
        <f t="shared" ref="E15:E20" si="1">C15*D15</f>
        <v>39419.1</v>
      </c>
      <c r="F15" s="275">
        <f t="shared" ref="F15:F23" si="2">E15/$E$46*100</f>
        <v>1.4471876034912365</v>
      </c>
    </row>
    <row r="16" spans="1:6">
      <c r="A16" s="238" t="s">
        <v>138</v>
      </c>
      <c r="B16" s="240" t="s">
        <v>23</v>
      </c>
      <c r="C16" s="242">
        <v>200</v>
      </c>
      <c r="D16" s="274">
        <f t="shared" si="0"/>
        <v>985.47749999999996</v>
      </c>
      <c r="E16" s="274">
        <f t="shared" si="1"/>
        <v>197095.5</v>
      </c>
      <c r="F16" s="275">
        <f t="shared" si="2"/>
        <v>7.2359380174561823</v>
      </c>
    </row>
    <row r="17" spans="1:6">
      <c r="A17" s="238" t="s">
        <v>313</v>
      </c>
      <c r="B17" s="240" t="s">
        <v>23</v>
      </c>
      <c r="C17" s="242">
        <v>40</v>
      </c>
      <c r="D17" s="274">
        <f t="shared" si="0"/>
        <v>985.47749999999996</v>
      </c>
      <c r="E17" s="274">
        <f t="shared" si="1"/>
        <v>39419.1</v>
      </c>
      <c r="F17" s="275">
        <f t="shared" si="2"/>
        <v>1.4471876034912365</v>
      </c>
    </row>
    <row r="18" spans="1:6">
      <c r="A18" s="238" t="s">
        <v>287</v>
      </c>
      <c r="B18" s="240" t="s">
        <v>23</v>
      </c>
      <c r="C18" s="242">
        <v>24</v>
      </c>
      <c r="D18" s="274">
        <f t="shared" si="0"/>
        <v>985.47749999999996</v>
      </c>
      <c r="E18" s="274">
        <f t="shared" si="1"/>
        <v>23651.46</v>
      </c>
      <c r="F18" s="275">
        <f t="shared" si="2"/>
        <v>0.86831256209474184</v>
      </c>
    </row>
    <row r="19" spans="1:6">
      <c r="A19" s="238" t="s">
        <v>316</v>
      </c>
      <c r="B19" s="240" t="s">
        <v>23</v>
      </c>
      <c r="C19" s="242">
        <v>32</v>
      </c>
      <c r="D19" s="274">
        <f t="shared" si="0"/>
        <v>985.47749999999996</v>
      </c>
      <c r="E19" s="274">
        <f t="shared" si="1"/>
        <v>31535.279999999999</v>
      </c>
      <c r="F19" s="275">
        <f t="shared" si="2"/>
        <v>1.1577500827929892</v>
      </c>
    </row>
    <row r="20" spans="1:6" ht="13.5" thickBot="1">
      <c r="A20" s="281" t="s">
        <v>317</v>
      </c>
      <c r="B20" s="282" t="s">
        <v>23</v>
      </c>
      <c r="C20" s="283">
        <v>120</v>
      </c>
      <c r="D20" s="284">
        <f t="shared" si="0"/>
        <v>985.47749999999996</v>
      </c>
      <c r="E20" s="284">
        <f t="shared" si="1"/>
        <v>118257.29999999999</v>
      </c>
      <c r="F20" s="285">
        <f t="shared" si="2"/>
        <v>4.3415628104737092</v>
      </c>
    </row>
    <row r="21" spans="1:6">
      <c r="A21" s="238" t="s">
        <v>246</v>
      </c>
      <c r="B21" s="240" t="s">
        <v>23</v>
      </c>
      <c r="C21" s="243">
        <f>C20+C19</f>
        <v>152</v>
      </c>
      <c r="D21" s="280"/>
      <c r="E21" s="274">
        <f>SUM(E15:E20)</f>
        <v>449377.74000000005</v>
      </c>
      <c r="F21" s="275">
        <f t="shared" si="2"/>
        <v>16.497938679800097</v>
      </c>
    </row>
    <row r="22" spans="1:6">
      <c r="A22" s="238" t="s">
        <v>718</v>
      </c>
      <c r="B22" s="240" t="s">
        <v>717</v>
      </c>
      <c r="C22" s="240"/>
      <c r="D22" s="240"/>
      <c r="E22" s="274">
        <f>'PREC marzo 2014'!E10</f>
        <v>168000</v>
      </c>
      <c r="F22" s="275">
        <f t="shared" si="2"/>
        <v>6.1677592179052221</v>
      </c>
    </row>
    <row r="23" spans="1:6" ht="13.5" thickBot="1">
      <c r="A23" s="287" t="s">
        <v>475</v>
      </c>
      <c r="B23" s="288"/>
      <c r="C23" s="288"/>
      <c r="D23" s="289"/>
      <c r="E23" s="290">
        <f>E22+E21</f>
        <v>617377.74</v>
      </c>
      <c r="F23" s="291">
        <f t="shared" si="2"/>
        <v>22.665697897705318</v>
      </c>
    </row>
    <row r="24" spans="1:6">
      <c r="A24" s="292" t="s">
        <v>476</v>
      </c>
      <c r="B24" s="239"/>
      <c r="C24" s="239"/>
      <c r="D24" s="251" t="s">
        <v>9</v>
      </c>
      <c r="E24" s="279"/>
      <c r="F24" s="241"/>
    </row>
    <row r="25" spans="1:6">
      <c r="A25" s="238" t="s">
        <v>474</v>
      </c>
      <c r="B25" s="239" t="s">
        <v>197</v>
      </c>
      <c r="C25" s="279">
        <v>35000</v>
      </c>
      <c r="D25" s="766">
        <f>'PREC marzo 2014'!E27</f>
        <v>20</v>
      </c>
      <c r="E25" s="279">
        <f>+D25*C25</f>
        <v>700000</v>
      </c>
      <c r="F25" s="275">
        <f>E25/$E$46*100</f>
        <v>25.698996741271756</v>
      </c>
    </row>
    <row r="26" spans="1:6">
      <c r="A26" s="238" t="s">
        <v>1301</v>
      </c>
      <c r="B26" s="240" t="s">
        <v>36</v>
      </c>
      <c r="C26" s="242">
        <f>8*46</f>
        <v>368</v>
      </c>
      <c r="D26" s="274">
        <f>brocoli!D27</f>
        <v>342.66666666666669</v>
      </c>
      <c r="E26" s="274">
        <f t="shared" ref="E26:E40" si="3">C26*D26</f>
        <v>126101.33333333334</v>
      </c>
      <c r="F26" s="275">
        <f>E26/$E$46*100</f>
        <v>4.6295396491476533</v>
      </c>
    </row>
    <row r="27" spans="1:6">
      <c r="A27" s="257" t="s">
        <v>765</v>
      </c>
      <c r="B27" s="240" t="s">
        <v>36</v>
      </c>
      <c r="C27" s="242">
        <f>8*46</f>
        <v>368</v>
      </c>
      <c r="D27" s="274">
        <f>brocoli!D28</f>
        <v>426.66666666666669</v>
      </c>
      <c r="E27" s="274">
        <f t="shared" si="3"/>
        <v>157013.33333333334</v>
      </c>
      <c r="F27" s="275">
        <f>E27/$E$46*100</f>
        <v>5.7644073452422138</v>
      </c>
    </row>
    <row r="28" spans="1:6">
      <c r="A28" s="1249" t="s">
        <v>9</v>
      </c>
      <c r="B28" s="1249" t="s">
        <v>9</v>
      </c>
      <c r="C28" s="1250" t="s">
        <v>9</v>
      </c>
      <c r="D28" s="1255" t="s">
        <v>9</v>
      </c>
      <c r="E28" s="1255" t="s">
        <v>9</v>
      </c>
      <c r="F28" s="1256" t="s">
        <v>9</v>
      </c>
    </row>
    <row r="29" spans="1:6">
      <c r="A29" s="1249" t="str">
        <f>rep!A31</f>
        <v>AMINOAC.BIOFIX</v>
      </c>
      <c r="B29" s="1249" t="str">
        <f>rep!B31</f>
        <v>LT</v>
      </c>
      <c r="C29" s="1250">
        <f>rep!C31</f>
        <v>4</v>
      </c>
      <c r="D29" s="274">
        <f>brocoli!D30</f>
        <v>7233</v>
      </c>
      <c r="E29" s="274">
        <f t="shared" si="3"/>
        <v>28932</v>
      </c>
      <c r="F29" s="275">
        <f t="shared" ref="F29:F40" si="4">E29/$E$46*100</f>
        <v>1.0621762481692494</v>
      </c>
    </row>
    <row r="30" spans="1:6">
      <c r="A30" s="240" t="str">
        <f>rep!A32</f>
        <v>BACTERICIDA:AGRI-MYCIN</v>
      </c>
      <c r="B30" s="1249" t="str">
        <f>rep!B32</f>
        <v>KG</v>
      </c>
      <c r="C30" s="1250">
        <f>rep!C32</f>
        <v>0.2</v>
      </c>
      <c r="D30" s="274">
        <f>brocoli!D31</f>
        <v>35620</v>
      </c>
      <c r="E30" s="274">
        <f t="shared" si="3"/>
        <v>7124</v>
      </c>
      <c r="F30" s="275">
        <f t="shared" si="4"/>
        <v>0.26154236112117146</v>
      </c>
    </row>
    <row r="31" spans="1:6">
      <c r="A31" s="240" t="str">
        <f>rep!A33</f>
        <v>INSECTICIDA:  EVISECT</v>
      </c>
      <c r="B31" s="1249" t="str">
        <f>rep!B33</f>
        <v>KG</v>
      </c>
      <c r="C31" s="1250">
        <f>rep!C33</f>
        <v>0.5</v>
      </c>
      <c r="D31" s="274">
        <f>brocoli!D32</f>
        <v>20384</v>
      </c>
      <c r="E31" s="274">
        <f t="shared" si="3"/>
        <v>10192</v>
      </c>
      <c r="F31" s="275">
        <f t="shared" si="4"/>
        <v>0.37417739255291682</v>
      </c>
    </row>
    <row r="32" spans="1:6">
      <c r="A32" s="1249" t="str">
        <f>rep!A34</f>
        <v>PADAN</v>
      </c>
      <c r="B32" s="1249" t="str">
        <f>rep!B34</f>
        <v>KG</v>
      </c>
      <c r="C32" s="1250">
        <f>rep!C34</f>
        <v>1.5</v>
      </c>
      <c r="D32" s="274">
        <f>brocoli!D33</f>
        <v>5731</v>
      </c>
      <c r="E32" s="274">
        <f t="shared" si="3"/>
        <v>8596.5</v>
      </c>
      <c r="F32" s="275">
        <f t="shared" si="4"/>
        <v>0.31560203640906093</v>
      </c>
    </row>
    <row r="33" spans="1:6">
      <c r="A33" s="1249" t="str">
        <f>rep!A35</f>
        <v>DIPEL (BACILLUS T.)</v>
      </c>
      <c r="B33" s="1249" t="str">
        <f>rep!B35</f>
        <v>50CC</v>
      </c>
      <c r="C33" s="1250">
        <f>rep!C35</f>
        <v>10</v>
      </c>
      <c r="D33" s="274">
        <f>brocoli!D34</f>
        <v>800</v>
      </c>
      <c r="E33" s="274">
        <f t="shared" si="3"/>
        <v>8000</v>
      </c>
      <c r="F33" s="275">
        <f t="shared" si="4"/>
        <v>0.29370281990024866</v>
      </c>
    </row>
    <row r="34" spans="1:6">
      <c r="A34" s="1249" t="str">
        <f>rep!A36</f>
        <v>FEROMONA PLUTELLA</v>
      </c>
      <c r="B34" s="1249" t="str">
        <f>rep!B36</f>
        <v>UNID</v>
      </c>
      <c r="C34" s="1250">
        <f>rep!C36</f>
        <v>16</v>
      </c>
      <c r="D34" s="274">
        <f>brocoli!D35</f>
        <v>9090</v>
      </c>
      <c r="E34" s="1255">
        <f t="shared" si="3"/>
        <v>145440</v>
      </c>
      <c r="F34" s="1256">
        <f t="shared" si="4"/>
        <v>5.3395172657865206</v>
      </c>
    </row>
    <row r="35" spans="1:6">
      <c r="A35" s="1249" t="str">
        <f>rep!A37</f>
        <v>REGENT</v>
      </c>
      <c r="B35" s="1249" t="str">
        <f>rep!B37</f>
        <v xml:space="preserve">100 CC </v>
      </c>
      <c r="C35" s="1250">
        <f>rep!C37</f>
        <v>3</v>
      </c>
      <c r="D35" s="274">
        <f>brocoli!D36</f>
        <v>6816</v>
      </c>
      <c r="E35" s="1255">
        <f t="shared" si="3"/>
        <v>20448</v>
      </c>
      <c r="F35" s="1256">
        <f t="shared" si="4"/>
        <v>0.75070440766503554</v>
      </c>
    </row>
    <row r="36" spans="1:6">
      <c r="A36" s="240" t="str">
        <f>rep!A38</f>
        <v>FUNGICIDAS : ANTRACOL</v>
      </c>
      <c r="B36" s="1249" t="str">
        <f>rep!B38</f>
        <v>KG</v>
      </c>
      <c r="C36" s="1250">
        <f>rep!C38</f>
        <v>10</v>
      </c>
      <c r="D36" s="274">
        <f>brocoli!D37</f>
        <v>4533.333333333333</v>
      </c>
      <c r="E36" s="274">
        <f t="shared" si="3"/>
        <v>45333.333333333328</v>
      </c>
      <c r="F36" s="275">
        <f t="shared" si="4"/>
        <v>1.6643159794347422</v>
      </c>
    </row>
    <row r="37" spans="1:6">
      <c r="A37" s="1249" t="str">
        <f>rep!A39</f>
        <v>M-80</v>
      </c>
      <c r="B37" s="1249" t="str">
        <f>rep!B39</f>
        <v>KG</v>
      </c>
      <c r="C37" s="1250">
        <f>rep!C39</f>
        <v>10</v>
      </c>
      <c r="D37" s="274">
        <f>brocoli!D38</f>
        <v>11428</v>
      </c>
      <c r="E37" s="274">
        <f t="shared" si="3"/>
        <v>114280</v>
      </c>
      <c r="F37" s="275">
        <f t="shared" si="4"/>
        <v>4.1955447822750518</v>
      </c>
    </row>
    <row r="38" spans="1:6">
      <c r="A38" s="1249" t="str">
        <f>rep!A40</f>
        <v>RONILAN</v>
      </c>
      <c r="B38" s="1249" t="str">
        <f>rep!B40</f>
        <v>KG</v>
      </c>
      <c r="C38" s="1250">
        <f>rep!C40</f>
        <v>3</v>
      </c>
      <c r="D38" s="274">
        <f>brocoli!D39</f>
        <v>17252</v>
      </c>
      <c r="E38" s="274">
        <f t="shared" si="3"/>
        <v>51756</v>
      </c>
      <c r="F38" s="275">
        <f t="shared" si="4"/>
        <v>1.9001103933446586</v>
      </c>
    </row>
    <row r="39" spans="1:6">
      <c r="A39" s="1249" t="str">
        <f>rep!A41</f>
        <v>DACONIL</v>
      </c>
      <c r="B39" s="1249" t="str">
        <f>rep!B41</f>
        <v>KG</v>
      </c>
      <c r="C39" s="1250">
        <f>rep!C41</f>
        <v>10</v>
      </c>
      <c r="D39" s="274">
        <f>brocoli!D40</f>
        <v>33348</v>
      </c>
      <c r="E39" s="274">
        <f t="shared" si="3"/>
        <v>333480</v>
      </c>
      <c r="F39" s="275">
        <f t="shared" si="4"/>
        <v>12.243002047541864</v>
      </c>
    </row>
    <row r="40" spans="1:6">
      <c r="A40" s="1249" t="str">
        <f>rep!A42</f>
        <v xml:space="preserve">SILVACUR </v>
      </c>
      <c r="B40" s="1249" t="str">
        <f>rep!B42</f>
        <v>LT</v>
      </c>
      <c r="C40" s="1250">
        <f>rep!C42</f>
        <v>0.5</v>
      </c>
      <c r="D40" s="274">
        <f>brocoli!D41</f>
        <v>6107</v>
      </c>
      <c r="E40" s="274">
        <f t="shared" si="3"/>
        <v>3053.5</v>
      </c>
      <c r="F40" s="275">
        <f t="shared" si="4"/>
        <v>0.11210269507067616</v>
      </c>
    </row>
    <row r="41" spans="1:6" ht="13.5" thickBot="1">
      <c r="A41" s="1249" t="str">
        <f>rep!A43</f>
        <v xml:space="preserve">ADHERENTE </v>
      </c>
      <c r="B41" s="1249" t="str">
        <f>rep!B43</f>
        <v>LT</v>
      </c>
      <c r="C41" s="1250">
        <f>rep!C43</f>
        <v>2</v>
      </c>
      <c r="D41" s="1250">
        <f>brocoli!D41</f>
        <v>6107</v>
      </c>
      <c r="E41" s="1250">
        <f>rep!E43</f>
        <v>12214</v>
      </c>
      <c r="F41" s="1252">
        <f>rep!F43</f>
        <v>22.679416952929163</v>
      </c>
    </row>
    <row r="42" spans="1:6" ht="13.5" thickBot="1">
      <c r="A42" s="267" t="s">
        <v>319</v>
      </c>
      <c r="B42" s="268" t="s">
        <v>9</v>
      </c>
      <c r="C42" s="268" t="s">
        <v>9</v>
      </c>
      <c r="D42" s="268" t="s">
        <v>9</v>
      </c>
      <c r="E42" s="277">
        <f>SUM(E25:E41)</f>
        <v>1771964</v>
      </c>
      <c r="F42" s="277">
        <f>SUM(F25:F41)</f>
        <v>87.28485911786197</v>
      </c>
    </row>
    <row r="43" spans="1:6">
      <c r="A43" s="238" t="s">
        <v>66</v>
      </c>
      <c r="B43" s="239"/>
      <c r="C43" s="239"/>
      <c r="D43" s="239"/>
      <c r="E43" s="279"/>
      <c r="F43" s="241"/>
    </row>
    <row r="44" spans="1:6">
      <c r="A44" s="238" t="s">
        <v>320</v>
      </c>
      <c r="B44" s="239"/>
      <c r="C44" s="239"/>
      <c r="D44" s="239"/>
      <c r="E44" s="274">
        <f>brocoli!E45</f>
        <v>70000</v>
      </c>
      <c r="F44" s="275">
        <f>E44/$E$46*100</f>
        <v>2.5698996741271758</v>
      </c>
    </row>
    <row r="45" spans="1:6">
      <c r="A45" s="238" t="s">
        <v>178</v>
      </c>
      <c r="B45" s="239"/>
      <c r="C45" s="239"/>
      <c r="D45" s="239"/>
      <c r="E45" s="274">
        <f>brocoli!E46</f>
        <v>80000</v>
      </c>
      <c r="F45" s="275">
        <f>E45/$E$46*100</f>
        <v>2.9370281990024867</v>
      </c>
    </row>
    <row r="46" spans="1:6" ht="13.5" thickBot="1">
      <c r="A46" s="517" t="s">
        <v>321</v>
      </c>
      <c r="B46" s="518"/>
      <c r="C46" s="518"/>
      <c r="D46" s="518"/>
      <c r="E46" s="519">
        <f>E12+E23+E42+E45+E44</f>
        <v>2723841.74</v>
      </c>
      <c r="F46" s="520">
        <f>E46/E46*100</f>
        <v>100</v>
      </c>
    </row>
    <row r="47" spans="1:6" ht="13.5" thickBot="1">
      <c r="A47" s="517" t="s">
        <v>322</v>
      </c>
      <c r="B47" s="518"/>
      <c r="C47" s="518"/>
      <c r="D47" s="518"/>
      <c r="E47" s="519">
        <f>+E46/$E$3</f>
        <v>5057.7323182620003</v>
      </c>
      <c r="F47" s="520" t="s">
        <v>9</v>
      </c>
    </row>
    <row r="48" spans="1:6" ht="13.5" thickBot="1">
      <c r="A48" s="521"/>
      <c r="B48" s="522"/>
      <c r="C48" s="522"/>
      <c r="D48" s="522"/>
      <c r="E48" s="523"/>
      <c r="F48" s="524"/>
    </row>
    <row r="49" spans="1:6">
      <c r="A49" s="270" t="s">
        <v>323</v>
      </c>
      <c r="B49" s="293">
        <v>15000</v>
      </c>
      <c r="C49" s="294" t="s">
        <v>360</v>
      </c>
      <c r="D49" s="265"/>
      <c r="E49" s="295"/>
      <c r="F49" s="87" t="s">
        <v>9</v>
      </c>
    </row>
    <row r="50" spans="1:6">
      <c r="A50" s="292" t="s">
        <v>648</v>
      </c>
      <c r="B50" s="82">
        <f>+E46/B49</f>
        <v>181.58944933333333</v>
      </c>
      <c r="C50" s="81" t="s">
        <v>361</v>
      </c>
      <c r="D50" s="239"/>
      <c r="E50" s="241"/>
      <c r="F50" s="87"/>
    </row>
    <row r="51" spans="1:6" ht="13.5" thickBot="1">
      <c r="A51" s="1019" t="str">
        <f>rep!A51</f>
        <v>Precio finca mayo 2015</v>
      </c>
      <c r="B51" s="82">
        <f>resumen!F9</f>
        <v>350</v>
      </c>
      <c r="C51" s="81" t="s">
        <v>361</v>
      </c>
      <c r="D51" s="239"/>
      <c r="E51" s="241"/>
      <c r="F51" s="87"/>
    </row>
    <row r="52" spans="1:6">
      <c r="A52" s="985" t="s">
        <v>362</v>
      </c>
      <c r="B52" s="784">
        <v>16700</v>
      </c>
      <c r="C52" s="986" t="s">
        <v>268</v>
      </c>
      <c r="D52" s="265"/>
      <c r="E52" s="295"/>
      <c r="F52" s="87"/>
    </row>
    <row r="53" spans="1:6">
      <c r="A53" s="296" t="s">
        <v>363</v>
      </c>
      <c r="B53" s="279">
        <f>B52*D53</f>
        <v>1670</v>
      </c>
      <c r="C53" s="319" t="s">
        <v>268</v>
      </c>
      <c r="D53" s="328">
        <v>0.1</v>
      </c>
      <c r="E53" s="241"/>
      <c r="F53" s="87"/>
    </row>
    <row r="54" spans="1:6" ht="13.5" thickBot="1">
      <c r="A54" s="230" t="s">
        <v>364</v>
      </c>
      <c r="B54" s="330">
        <f>+B52-B53</f>
        <v>15030</v>
      </c>
      <c r="C54" s="329" t="s">
        <v>268</v>
      </c>
      <c r="D54" s="297"/>
      <c r="E54" s="298"/>
      <c r="F54" s="87"/>
    </row>
    <row r="55" spans="1:6">
      <c r="A55" s="229" t="s">
        <v>653</v>
      </c>
      <c r="B55" s="87"/>
      <c r="C55" s="87"/>
      <c r="D55" s="87"/>
      <c r="E55" s="87"/>
      <c r="F55" s="87"/>
    </row>
    <row r="56" spans="1:6">
      <c r="A56" s="271" t="s">
        <v>9</v>
      </c>
      <c r="B56" s="87"/>
      <c r="C56" s="87"/>
      <c r="F56" s="87"/>
    </row>
    <row r="57" spans="1:6">
      <c r="A57" s="62" t="s">
        <v>774</v>
      </c>
      <c r="B57" s="62">
        <v>1.79</v>
      </c>
      <c r="C57" s="826" t="s">
        <v>105</v>
      </c>
    </row>
    <row r="58" spans="1:6">
      <c r="A58" s="62" t="s">
        <v>775</v>
      </c>
      <c r="B58" s="435">
        <f>B49*B57</f>
        <v>26850</v>
      </c>
      <c r="C58" s="826" t="s">
        <v>105</v>
      </c>
    </row>
  </sheetData>
  <phoneticPr fontId="34" type="noConversion"/>
  <pageMargins left="0.98" right="0.39370078740157483" top="0.48" bottom="0.59" header="0" footer="0"/>
  <pageSetup scale="90" orientation="portrait" horizontalDpi="120" verticalDpi="14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semillas</vt:lpstr>
      <vt:lpstr>nombre generico</vt:lpstr>
      <vt:lpstr>PREC marzo 2014</vt:lpstr>
      <vt:lpstr>papa 1</vt:lpstr>
      <vt:lpstr>cebolla</vt:lpstr>
      <vt:lpstr>zanah</vt:lpstr>
      <vt:lpstr>rep</vt:lpstr>
      <vt:lpstr>brocoli</vt:lpstr>
      <vt:lpstr>Coliflor</vt:lpstr>
      <vt:lpstr>remolacha</vt:lpstr>
      <vt:lpstr>tomate</vt:lpstr>
      <vt:lpstr>chile d</vt:lpstr>
      <vt:lpstr>vainica</vt:lpstr>
      <vt:lpstr>lechug</vt:lpstr>
      <vt:lpstr>culantro</vt:lpstr>
      <vt:lpstr>apio</vt:lpstr>
      <vt:lpstr>zapallo</vt:lpstr>
      <vt:lpstr>resumen</vt:lpstr>
      <vt:lpstr>apio!Área_de_impresión</vt:lpstr>
      <vt:lpstr>cebolla!Área_de_impresión</vt:lpstr>
      <vt:lpstr>'chile d'!Área_de_impresión</vt:lpstr>
      <vt:lpstr>Coliflor!Área_de_impresión</vt:lpstr>
      <vt:lpstr>lechug!Área_de_impresión</vt:lpstr>
      <vt:lpstr>'papa 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AVIOS</dc:title>
  <dc:creator>Ing Rolando Tencio</dc:creator>
  <cp:lastModifiedBy>mag</cp:lastModifiedBy>
  <cp:lastPrinted>2008-03-07T21:04:59Z</cp:lastPrinted>
  <dcterms:created xsi:type="dcterms:W3CDTF">1999-03-15T20:47:42Z</dcterms:created>
  <dcterms:modified xsi:type="dcterms:W3CDTF">2015-08-07T13:08:07Z</dcterms:modified>
</cp:coreProperties>
</file>